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cueil" sheetId="1" state="visible" r:id="rId3"/>
    <sheet name="Paramètres" sheetId="2" state="visible" r:id="rId4"/>
    <sheet name="Tableau de bord" sheetId="3" state="visible" r:id="rId5"/>
    <sheet name="Analyse des risques" sheetId="4" state="visible" r:id="rId6"/>
    <sheet name="Plan d'actions" sheetId="5" state="visible" r:id="rId7"/>
    <sheet name="Analyse après actions" sheetId="6" state="visible" r:id="rId8"/>
    <sheet name="Cartographie" sheetId="7" state="visible" r:id="rId9"/>
    <sheet name="Calculs" sheetId="8" state="hidden" r:id="rId10"/>
    <sheet name="Rapports" sheetId="9" state="visible" r:id="rId11"/>
  </sheets>
  <definedNames>
    <definedName function="false" hidden="false" name="Liste_Activites" vbProcedure="false">Paramètres!$G$4:$G$15</definedName>
    <definedName function="false" hidden="false" name="Liste_Ateliers" vbProcedure="false">Paramètres!$E$4:$E$9</definedName>
    <definedName function="false" hidden="false" name="Liste_Cotation" vbProcedure="false">Paramètres!$U$21:$U$25</definedName>
    <definedName function="false" hidden="false" name="Liste_Dangers" vbProcedure="false">Paramètres!$I$4:$I$18</definedName>
    <definedName function="false" hidden="false" name="Liste_Departements" vbProcedure="false">Paramètres!$C$4:$C$9</definedName>
    <definedName function="false" hidden="false" name="Liste_Entreprise" vbProcedure="false">Paramètres!$A$4:$A$4</definedName>
    <definedName function="false" hidden="false" name="Liste_Familles" vbProcedure="false">Paramètres!$H$4:$H$15</definedName>
    <definedName function="false" hidden="false" name="Liste_Mesures" vbProcedure="false">Paramètres!$J$4:$J$13</definedName>
    <definedName function="false" hidden="false" name="Liste_Priorites" vbProcedure="false">Paramètres!$M$4:$M$7</definedName>
    <definedName function="false" hidden="false" name="Liste_Processus" vbProcedure="false">Paramètres!$F$4:$F$8</definedName>
    <definedName function="false" hidden="false" name="Liste_Responsables" vbProcedure="false">Paramètres!$K$4:$K$11</definedName>
    <definedName function="false" hidden="false" name="Liste_Services" vbProcedure="false">Paramètres!$D$4:$D$13</definedName>
    <definedName function="false" hidden="false" name="Liste_Sites" vbProcedure="false">Paramètres!$B$4:$B$6</definedName>
    <definedName function="false" hidden="false" name="Liste_Statuts" vbProcedure="false">Paramètres!$N$4:$N$8</definedName>
    <definedName function="false" hidden="false" name="Liste_TypesActions" vbProcedure="false">Paramètres!$L$4:$L$11</definedName>
    <definedName function="false" hidden="false" name="Seuil_Eleve" vbProcedure="false">Paramètres!$R$31</definedName>
    <definedName function="false" hidden="false" name="Seuil_Faible" vbProcedure="false">Paramètres!$R$29</definedName>
    <definedName function="false" hidden="false" name="Seuil_Moyen" vbProcedure="false">Paramètres!$R$30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<sst xmlns="http://schemas.openxmlformats.org/spreadsheetml/2006/main" count="1016" uniqueCount="501">
  <si>
    <t xml:space="preserve">  🛡️  ANALYSE DES RISQUES SANTÉ &amp; SÉCURITÉ AU TRAVAIL</t>
  </si>
  <si>
    <t xml:space="preserve">  Outil d'évaluation des risques professionnels — conforme à la démarche ISO 45001 (planification §6.1) — 100 % sans macro</t>
  </si>
  <si>
    <t xml:space="preserve">📌  MÉTHODE</t>
  </si>
  <si>
    <t xml:space="preserve">Criticité = Gravité × Probabilité × Fréquence d'exposition × Nombre de personnes exposées (1 à 625). Les seuils Faible / Moyen / Élevé / Critique sont réglables dans la feuille Paramètres.</t>
  </si>
  <si>
    <t xml:space="preserve">1️⃣  Paramètres</t>
  </si>
  <si>
    <t xml:space="preserve">Adaptez d'abord les listes (sites, services, dangers, responsables…) : elles alimentent toutes les listes déroulantes du classeur.</t>
  </si>
  <si>
    <t xml:space="preserve">2️⃣  Analyse des risques</t>
  </si>
  <si>
    <t xml:space="preserve">Saisissez chaque situation dangereuse. La criticité, le niveau et les couleurs se calculent automatiquement. Le tableau s'étend seul quand vous ajoutez une ligne.</t>
  </si>
  <si>
    <t xml:space="preserve">3️⃣  Plan d'actions</t>
  </si>
  <si>
    <t xml:space="preserve">Enregistrez les actions de maîtrise : retards, jours restants et alertes 🔴🟠🟢 sont calculés automatiquement.</t>
  </si>
  <si>
    <t xml:space="preserve">4️⃣  Analyse après actions</t>
  </si>
  <si>
    <t xml:space="preserve">Re-cotez les risques traités : risque résiduel, gain et % de réduction sont calculés instantanément.</t>
  </si>
  <si>
    <t xml:space="preserve">5️⃣  Tableau de bord</t>
  </si>
  <si>
    <t xml:space="preserve">KPI, Top 10, graphiques et évolution avant/après se mettent à jour en temps réel. Ajoutez des segments : clic dans un tableau ▸ Insertion ▸ Segment.</t>
  </si>
  <si>
    <t xml:space="preserve">6️⃣  Cartographie</t>
  </si>
  <si>
    <t xml:space="preserve">Matrices 5×5 brute et résiduelle : chaque case compte automatiquement les risques positionnés (Gravité × Probabilité).</t>
  </si>
  <si>
    <t xml:space="preserve">7️⃣  Rapports</t>
  </si>
  <si>
    <t xml:space="preserve">Synthèses par service, département, activité, danger, responsable et période — recalculées automatiquement.</t>
  </si>
  <si>
    <t xml:space="preserve">💡  Astuce TCD</t>
  </si>
  <si>
    <t xml:space="preserve">Les tableaux structurés (T_Risques, T_Actions, T_Residuel) peuvent servir de source à des tableaux croisés dynamiques : Insertion ▸ Tableau croisé dynamique.</t>
  </si>
  <si>
    <t xml:space="preserve">Classeur optimisé pour Microsoft Excel 365 — Police Segoe UI — Aucune macro VBA.</t>
  </si>
  <si>
    <t xml:space="preserve">⚙️  PARAMÈTRES — LISTES DE RÉFÉRENCE (modifiables, elles alimentent toutes les listes déroulantes)</t>
  </si>
  <si>
    <t xml:space="preserve">Entreprise</t>
  </si>
  <si>
    <t xml:space="preserve">Site</t>
  </si>
  <si>
    <t xml:space="preserve">Département</t>
  </si>
  <si>
    <t xml:space="preserve">Service</t>
  </si>
  <si>
    <t xml:space="preserve">Atelier</t>
  </si>
  <si>
    <t xml:space="preserve">Processus</t>
  </si>
  <si>
    <t xml:space="preserve">Activité</t>
  </si>
  <si>
    <t xml:space="preserve">Famille de danger</t>
  </si>
  <si>
    <t xml:space="preserve">Danger</t>
  </si>
  <si>
    <t xml:space="preserve">Mesures existantes</t>
  </si>
  <si>
    <t xml:space="preserve">Responsable</t>
  </si>
  <si>
    <t xml:space="preserve">Type d'action</t>
  </si>
  <si>
    <t xml:space="preserve">Priorité</t>
  </si>
  <si>
    <t xml:space="preserve">Statut</t>
  </si>
  <si>
    <t xml:space="preserve">INDUSTRIA GROUP SA</t>
  </si>
  <si>
    <t xml:space="preserve">Site A - Tunis</t>
  </si>
  <si>
    <t xml:space="preserve">Production</t>
  </si>
  <si>
    <t xml:space="preserve">Usinage</t>
  </si>
  <si>
    <t xml:space="preserve">Atelier 1</t>
  </si>
  <si>
    <t xml:space="preserve">Réalisation</t>
  </si>
  <si>
    <t xml:space="preserve">Manutention manuelle</t>
  </si>
  <si>
    <t xml:space="preserve">Mécanique</t>
  </si>
  <si>
    <t xml:space="preserve">Pièces mécaniques en mouvement</t>
  </si>
  <si>
    <t xml:space="preserve">EPI adaptés</t>
  </si>
  <si>
    <t xml:space="preserve">A. Ben Salah</t>
  </si>
  <si>
    <t xml:space="preserve">Élimination</t>
  </si>
  <si>
    <t xml:space="preserve">P1 - Immédiate</t>
  </si>
  <si>
    <t xml:space="preserve">À faire</t>
  </si>
  <si>
    <t xml:space="preserve">Site B - Sousse</t>
  </si>
  <si>
    <t xml:space="preserve">Maintenance</t>
  </si>
  <si>
    <t xml:space="preserve">Assemblage</t>
  </si>
  <si>
    <t xml:space="preserve">Atelier 2</t>
  </si>
  <si>
    <t xml:space="preserve">Support</t>
  </si>
  <si>
    <t xml:space="preserve">Manutention mécanique</t>
  </si>
  <si>
    <t xml:space="preserve">Électrique</t>
  </si>
  <si>
    <t xml:space="preserve">Énergie électrique (armoires, câbles)</t>
  </si>
  <si>
    <t xml:space="preserve">Formation du personnel</t>
  </si>
  <si>
    <t xml:space="preserve">M. Trabelsi</t>
  </si>
  <si>
    <t xml:space="preserve">Substitution</t>
  </si>
  <si>
    <t xml:space="preserve">P2 - Haute</t>
  </si>
  <si>
    <t xml:space="preserve">En cours</t>
  </si>
  <si>
    <t xml:space="preserve">Site C - Sfax</t>
  </si>
  <si>
    <t xml:space="preserve">Logistique</t>
  </si>
  <si>
    <t xml:space="preserve">Soudure</t>
  </si>
  <si>
    <t xml:space="preserve">Atelier 3</t>
  </si>
  <si>
    <t xml:space="preserve">Management</t>
  </si>
  <si>
    <t xml:space="preserve">Travail en hauteur</t>
  </si>
  <si>
    <t xml:space="preserve">Chimique</t>
  </si>
  <si>
    <t xml:space="preserve">Produits chimiques - solvants</t>
  </si>
  <si>
    <t xml:space="preserve">Procédure / consigne écrite</t>
  </si>
  <si>
    <t xml:space="preserve">S. Gharbi</t>
  </si>
  <si>
    <t xml:space="preserve">Protection collective</t>
  </si>
  <si>
    <t xml:space="preserve">P3 - Moyenne</t>
  </si>
  <si>
    <t xml:space="preserve">En retard</t>
  </si>
  <si>
    <t xml:space="preserve">Qualité HSE</t>
  </si>
  <si>
    <t xml:space="preserve">Peinture</t>
  </si>
  <si>
    <t xml:space="preserve">Zone de stockage</t>
  </si>
  <si>
    <t xml:space="preserve">Soudage</t>
  </si>
  <si>
    <t xml:space="preserve">Physique - Bruit / Vibrations</t>
  </si>
  <si>
    <t xml:space="preserve">Bruit &gt; 85 dB(A)</t>
  </si>
  <si>
    <t xml:space="preserve">Protection collective (carter, garde-corps)</t>
  </si>
  <si>
    <t xml:space="preserve">K. Haddad</t>
  </si>
  <si>
    <t xml:space="preserve">Protection individuelle (EPI)</t>
  </si>
  <si>
    <t xml:space="preserve">P4 - Basse</t>
  </si>
  <si>
    <t xml:space="preserve">Clôturée</t>
  </si>
  <si>
    <t xml:space="preserve">Administration</t>
  </si>
  <si>
    <t xml:space="preserve">Maintenance mécanique</t>
  </si>
  <si>
    <t xml:space="preserve">Quai de chargement</t>
  </si>
  <si>
    <t xml:space="preserve">Ergonomique</t>
  </si>
  <si>
    <t xml:space="preserve">Manutention de charges lourdes</t>
  </si>
  <si>
    <t xml:space="preserve">Signalisation</t>
  </si>
  <si>
    <t xml:space="preserve">N. Bouazizi</t>
  </si>
  <si>
    <t xml:space="preserve">Formation / Sensibilisation</t>
  </si>
  <si>
    <t xml:space="preserve">Annulée</t>
  </si>
  <si>
    <t xml:space="preserve">R&amp;D</t>
  </si>
  <si>
    <t xml:space="preserve">Maintenance électrique</t>
  </si>
  <si>
    <t xml:space="preserve">Bureaux</t>
  </si>
  <si>
    <t xml:space="preserve">Peinture industrielle</t>
  </si>
  <si>
    <t xml:space="preserve">Chute de hauteur</t>
  </si>
  <si>
    <t xml:space="preserve">Travail en hauteur &gt; 2 m</t>
  </si>
  <si>
    <t xml:space="preserve">Maintenance préventive</t>
  </si>
  <si>
    <t xml:space="preserve">R. Mansour</t>
  </si>
  <si>
    <t xml:space="preserve">Organisationnelle</t>
  </si>
  <si>
    <t xml:space="preserve">Magasin</t>
  </si>
  <si>
    <t xml:space="preserve">Contrôle qualité</t>
  </si>
  <si>
    <t xml:space="preserve">Incendie / Explosion</t>
  </si>
  <si>
    <t xml:space="preserve">Atmosphère explosive (ATEX)</t>
  </si>
  <si>
    <t xml:space="preserve">Permis de travail</t>
  </si>
  <si>
    <t xml:space="preserve">L. Chaabane</t>
  </si>
  <si>
    <t xml:space="preserve">Expédition</t>
  </si>
  <si>
    <t xml:space="preserve">Conduite d'engins</t>
  </si>
  <si>
    <t xml:space="preserve">Circulation / Engins</t>
  </si>
  <si>
    <t xml:space="preserve">Circulation de chariots élévateurs</t>
  </si>
  <si>
    <t xml:space="preserve">Consignation LOTO</t>
  </si>
  <si>
    <t xml:space="preserve">Resp. HSE</t>
  </si>
  <si>
    <t xml:space="preserve">Laboratoire</t>
  </si>
  <si>
    <t xml:space="preserve">Travaux électriques</t>
  </si>
  <si>
    <t xml:space="preserve">Psychosocial</t>
  </si>
  <si>
    <t xml:space="preserve">Surfaces et fluides chauds</t>
  </si>
  <si>
    <t xml:space="preserve">Ventilation / aspiration</t>
  </si>
  <si>
    <t xml:space="preserve">Ressources Humaines</t>
  </si>
  <si>
    <t xml:space="preserve">Nettoyage industriel</t>
  </si>
  <si>
    <t xml:space="preserve">Thermique</t>
  </si>
  <si>
    <t xml:space="preserve">Rayonnement de soudage (UV)</t>
  </si>
  <si>
    <t xml:space="preserve">Aucune mesure</t>
  </si>
  <si>
    <t xml:space="preserve">Travail administratif</t>
  </si>
  <si>
    <t xml:space="preserve">Biologique</t>
  </si>
  <si>
    <t xml:space="preserve">Poussières inhalables</t>
  </si>
  <si>
    <t xml:space="preserve">Chargement / Déchargement</t>
  </si>
  <si>
    <t xml:space="preserve">Rayonnements</t>
  </si>
  <si>
    <t xml:space="preserve">Charge mentale / stress</t>
  </si>
  <si>
    <t xml:space="preserve">Sols glissants / encombrés</t>
  </si>
  <si>
    <t xml:space="preserve">Agents biologiques</t>
  </si>
  <si>
    <t xml:space="preserve">Vibrations main-bras</t>
  </si>
  <si>
    <t xml:space="preserve">GRILLES DE COTATION (1 à 5)</t>
  </si>
  <si>
    <t xml:space="preserve">GRAVITÉ (G)</t>
  </si>
  <si>
    <t xml:space="preserve">PROBABILITÉ (P)</t>
  </si>
  <si>
    <t xml:space="preserve">FRÉQUENCE D'EXPOSITION (F)</t>
  </si>
  <si>
    <t xml:space="preserve">NB PERSONNES EXPOSÉES (N)</t>
  </si>
  <si>
    <t xml:space="preserve">1 - Bénin (sans arrêt)</t>
  </si>
  <si>
    <t xml:space="preserve">1 - Très improbable</t>
  </si>
  <si>
    <t xml:space="preserve">1 - Rare (&lt; 1×/an)</t>
  </si>
  <si>
    <t xml:space="preserve">1 - 1 personne</t>
  </si>
  <si>
    <t xml:space="preserve">2 - Léger (soins, sans arrêt)</t>
  </si>
  <si>
    <t xml:space="preserve">2 - Improbable</t>
  </si>
  <si>
    <t xml:space="preserve">2 - Occasionnelle (mensuelle)</t>
  </si>
  <si>
    <t xml:space="preserve">2 - 2 à 3 personnes</t>
  </si>
  <si>
    <t xml:space="preserve">3 - Sérieux (arrêt de travail)</t>
  </si>
  <si>
    <t xml:space="preserve">3 - Possible</t>
  </si>
  <si>
    <t xml:space="preserve">3 - Fréquente (hebdomadaire)</t>
  </si>
  <si>
    <t xml:space="preserve">3 - 4 à 9 personnes</t>
  </si>
  <si>
    <t xml:space="preserve">4 - Grave (incapacité permanente)</t>
  </si>
  <si>
    <t xml:space="preserve">4 - Probable</t>
  </si>
  <si>
    <t xml:space="preserve">4 - Journalière</t>
  </si>
  <si>
    <t xml:space="preserve">4 - 10 à 49 personnes</t>
  </si>
  <si>
    <t xml:space="preserve">5 - Très grave (décès)</t>
  </si>
  <si>
    <t xml:space="preserve">5 - Quasi certain</t>
  </si>
  <si>
    <t xml:space="preserve">5 - Continue (permanente)</t>
  </si>
  <si>
    <t xml:space="preserve">5 - ≥ 50 personnes</t>
  </si>
  <si>
    <t xml:space="preserve">SEUILS DE CRITICITÉ  (Criticité = G × P × F × N — échelle 1 à 625)</t>
  </si>
  <si>
    <t xml:space="preserve">Faible</t>
  </si>
  <si>
    <t xml:space="preserve">Criticité ≤</t>
  </si>
  <si>
    <t xml:space="preserve">Risque acceptable — surveiller</t>
  </si>
  <si>
    <t xml:space="preserve">Moyen</t>
  </si>
  <si>
    <t xml:space="preserve">À traiter — action planifiée</t>
  </si>
  <si>
    <t xml:space="preserve">Élevé</t>
  </si>
  <si>
    <t xml:space="preserve">Prioritaire — action rapide</t>
  </si>
  <si>
    <t xml:space="preserve">Critique</t>
  </si>
  <si>
    <t xml:space="preserve">Criticité &gt;</t>
  </si>
  <si>
    <t xml:space="preserve">Inacceptable — action immédiate</t>
  </si>
  <si>
    <t xml:space="preserve">  🛡️  TABLEAU DE BORD SST — ANALYSE DES RISQUES  |  ISO 45001</t>
  </si>
  <si>
    <t xml:space="preserve">DANGERS IDENTIFIÉS</t>
  </si>
  <si>
    <t xml:space="preserve">RISQUES ÉVALUÉS</t>
  </si>
  <si>
    <t xml:space="preserve">🔴 CRITIQUES</t>
  </si>
  <si>
    <t xml:space="preserve">🟠 ÉLEVÉS</t>
  </si>
  <si>
    <t xml:space="preserve">🟡 MOYENS</t>
  </si>
  <si>
    <t xml:space="preserve">🟢 FAIBLES</t>
  </si>
  <si>
    <t xml:space="preserve">CRITICITÉ MOYENNE</t>
  </si>
  <si>
    <t xml:space="preserve">dangers distincts</t>
  </si>
  <si>
    <t xml:space="preserve">lignes d'analyse</t>
  </si>
  <si>
    <t xml:space="preserve">échelle 1 → 625</t>
  </si>
  <si>
    <t xml:space="preserve">ACTIONS OUVERTES</t>
  </si>
  <si>
    <t xml:space="preserve">ACTIONS CLÔTURÉES</t>
  </si>
  <si>
    <t xml:space="preserve">⚠ EN RETARD</t>
  </si>
  <si>
    <t xml:space="preserve">AVANCEMENT DU PLAN</t>
  </si>
  <si>
    <t xml:space="preserve">RÉDUCTION DU RISQUE</t>
  </si>
  <si>
    <t xml:space="preserve">RISQUES À TRAITER ≥ ÉLEVÉ</t>
  </si>
  <si>
    <t xml:space="preserve">moyenne des % d'avancement</t>
  </si>
  <si>
    <t xml:space="preserve">risques traités (résiduel)</t>
  </si>
  <si>
    <t xml:space="preserve">priorités du plan d'action</t>
  </si>
  <si>
    <t xml:space="preserve">🏆 TOP 10 DES RISQUES PRIORITAIRES</t>
  </si>
  <si>
    <t xml:space="preserve">Rang</t>
  </si>
  <si>
    <t xml:space="preserve">ID</t>
  </si>
  <si>
    <t xml:space="preserve">Criticité</t>
  </si>
  <si>
    <t xml:space="preserve">Niveau</t>
  </si>
  <si>
    <t xml:space="preserve">💡 FILTRES INTERACTIFS (SEGMENTS) : cliquez dans un tableau (Analyse des risques ou Plan d'actions) puis Insertion ▸ Segment et cochez Site, Département, Service, Activité, Responsable, Processus, Date, Niveau de risque. Les segments Excel 365 fonctionnent sans macro et filtrent instantanément les tableaux.</t>
  </si>
  <si>
    <t xml:space="preserve">Date</t>
  </si>
  <si>
    <t xml:space="preserve">Poste</t>
  </si>
  <si>
    <t xml:space="preserve">Description du danger</t>
  </si>
  <si>
    <t xml:space="preserve">Événement dangereux</t>
  </si>
  <si>
    <t xml:space="preserve">Risque</t>
  </si>
  <si>
    <t xml:space="preserve">Conséquence</t>
  </si>
  <si>
    <t xml:space="preserve">Personnes exposées</t>
  </si>
  <si>
    <t xml:space="preserve">Gravité (1-5)</t>
  </si>
  <si>
    <t xml:space="preserve">Probabilité (1-5)</t>
  </si>
  <si>
    <t xml:space="preserve">Fréquence (1-5)</t>
  </si>
  <si>
    <t xml:space="preserve">Nb pers. (1-5)</t>
  </si>
  <si>
    <t xml:space="preserve">Niveau de risque</t>
  </si>
  <si>
    <t xml:space="preserve">Clé tri</t>
  </si>
  <si>
    <t xml:space="preserve">R001</t>
  </si>
  <si>
    <t xml:space="preserve">Opérateur CN</t>
  </si>
  <si>
    <t xml:space="preserve">Broches et outils rotatifs non protégés</t>
  </si>
  <si>
    <t xml:space="preserve">Contact avec l'outil en rotation</t>
  </si>
  <si>
    <t xml:space="preserve">Coupure / entraînement</t>
  </si>
  <si>
    <t xml:space="preserve">Blessure grave de la main</t>
  </si>
  <si>
    <t xml:space="preserve">Opérateurs</t>
  </si>
  <si>
    <t xml:space="preserve">R002</t>
  </si>
  <si>
    <t xml:space="preserve">Niveau sonore 92 dB(A) mesuré au poste</t>
  </si>
  <si>
    <t xml:space="preserve">Exposition prolongée au bruit</t>
  </si>
  <si>
    <t xml:space="preserve">Surdité professionnelle</t>
  </si>
  <si>
    <t xml:space="preserve">Perte auditive irréversible</t>
  </si>
  <si>
    <t xml:space="preserve">R003</t>
  </si>
  <si>
    <t xml:space="preserve">Soudeur</t>
  </si>
  <si>
    <t xml:space="preserve">Vapeurs de solvants à proximité du poste soudure</t>
  </si>
  <si>
    <t xml:space="preserve">Inflammation de vapeurs</t>
  </si>
  <si>
    <t xml:space="preserve">Incendie / explosion</t>
  </si>
  <si>
    <t xml:space="preserve">Brûlures graves, décès</t>
  </si>
  <si>
    <t xml:space="preserve">Soudeurs + voisins</t>
  </si>
  <si>
    <t xml:space="preserve">R004</t>
  </si>
  <si>
    <t xml:space="preserve">Arc électrique sans écran de protection</t>
  </si>
  <si>
    <t xml:space="preserve">Exposition au rayonnement UV</t>
  </si>
  <si>
    <t xml:space="preserve">Coup d'arc / lésion oculaire</t>
  </si>
  <si>
    <t xml:space="preserve">Lésions oculaires</t>
  </si>
  <si>
    <t xml:space="preserve">Soudeurs</t>
  </si>
  <si>
    <t xml:space="preserve">R005</t>
  </si>
  <si>
    <t xml:space="preserve">Électricien</t>
  </si>
  <si>
    <t xml:space="preserve">Intervention sur armoire 400V sous tension</t>
  </si>
  <si>
    <t xml:space="preserve">Contact direct avec pièce nue sous tension</t>
  </si>
  <si>
    <t xml:space="preserve">Électrisation / électrocution</t>
  </si>
  <si>
    <t xml:space="preserve">Décès, brûlures internes</t>
  </si>
  <si>
    <t xml:space="preserve">Électriciens</t>
  </si>
  <si>
    <t xml:space="preserve">R006</t>
  </si>
  <si>
    <t xml:space="preserve">Technicien</t>
  </si>
  <si>
    <t xml:space="preserve">Intervention toiture et passerelles sans garde-corps</t>
  </si>
  <si>
    <t xml:space="preserve">Chute de plus de 3 m</t>
  </si>
  <si>
    <t xml:space="preserve">Décès, fractures multiples</t>
  </si>
  <si>
    <t xml:space="preserve">Techniciens</t>
  </si>
  <si>
    <t xml:space="preserve">R007</t>
  </si>
  <si>
    <t xml:space="preserve">Cariste</t>
  </si>
  <si>
    <t xml:space="preserve">Croisement piétons / chariots non séparés</t>
  </si>
  <si>
    <t xml:space="preserve">Collision engin-piéton</t>
  </si>
  <si>
    <t xml:space="preserve">Écrasement / heurt</t>
  </si>
  <si>
    <t xml:space="preserve">Décès, blessures graves</t>
  </si>
  <si>
    <t xml:space="preserve">Tout le personnel</t>
  </si>
  <si>
    <t xml:space="preserve">R008</t>
  </si>
  <si>
    <t xml:space="preserve">Agent quai</t>
  </si>
  <si>
    <t xml:space="preserve">Quai encombré, palettes au sol</t>
  </si>
  <si>
    <t xml:space="preserve">Glissade / trébuchement</t>
  </si>
  <si>
    <t xml:space="preserve">Chute de plain-pied</t>
  </si>
  <si>
    <t xml:space="preserve">Entorse, fracture</t>
  </si>
  <si>
    <t xml:space="preserve">Agents de quai</t>
  </si>
  <si>
    <t xml:space="preserve">R009</t>
  </si>
  <si>
    <t xml:space="preserve">Assistant RH</t>
  </si>
  <si>
    <t xml:space="preserve">Travail sur écran prolongé, posture statique</t>
  </si>
  <si>
    <t xml:space="preserve">Posture contraignante prolongée</t>
  </si>
  <si>
    <t xml:space="preserve">TMS membres supérieurs</t>
  </si>
  <si>
    <t xml:space="preserve">Troubles musculo-squelettiques</t>
  </si>
  <si>
    <t xml:space="preserve">Personnel administratif</t>
  </si>
  <si>
    <t xml:space="preserve">R010</t>
  </si>
  <si>
    <t xml:space="preserve">Peintre</t>
  </si>
  <si>
    <t xml:space="preserve">Application de peintures solvantées en cabine</t>
  </si>
  <si>
    <t xml:space="preserve">Inhalation de vapeurs de solvants</t>
  </si>
  <si>
    <t xml:space="preserve">Intoxication chronique</t>
  </si>
  <si>
    <t xml:space="preserve">Atteinte respiratoire / SNC</t>
  </si>
  <si>
    <t xml:space="preserve">Peintres</t>
  </si>
  <si>
    <t xml:space="preserve">R011</t>
  </si>
  <si>
    <t xml:space="preserve">Stockage de solvants inflammables en cabine</t>
  </si>
  <si>
    <t xml:space="preserve">Point chaud en zone ATEX</t>
  </si>
  <si>
    <t xml:space="preserve">Brûlures graves</t>
  </si>
  <si>
    <t xml:space="preserve">Peintres + voisins</t>
  </si>
  <si>
    <t xml:space="preserve">R012</t>
  </si>
  <si>
    <t xml:space="preserve">Monteur</t>
  </si>
  <si>
    <t xml:space="preserve">Port répété de sous-ensembles de 18 kg</t>
  </si>
  <si>
    <t xml:space="preserve">Effort de soulèvement répété</t>
  </si>
  <si>
    <t xml:space="preserve">Lombalgie / TMS dos</t>
  </si>
  <si>
    <t xml:space="preserve">Hernie discale</t>
  </si>
  <si>
    <t xml:space="preserve">Monteurs</t>
  </si>
  <si>
    <t xml:space="preserve">R013</t>
  </si>
  <si>
    <t xml:space="preserve">Presse d'emmanchement sans double commande</t>
  </si>
  <si>
    <t xml:space="preserve">Écrasement des doigts sous presse</t>
  </si>
  <si>
    <t xml:space="preserve">Écrasement main</t>
  </si>
  <si>
    <t xml:space="preserve">Amputation</t>
  </si>
  <si>
    <t xml:space="preserve">R014</t>
  </si>
  <si>
    <t xml:space="preserve">Agent nettoyage</t>
  </si>
  <si>
    <t xml:space="preserve">Dégraissage de pièces au solvant sans gants adaptés</t>
  </si>
  <si>
    <t xml:space="preserve">Contact cutané avec solvant</t>
  </si>
  <si>
    <t xml:space="preserve">Dermatose / brûlure chimique</t>
  </si>
  <si>
    <t xml:space="preserve">Brûlure cutanée</t>
  </si>
  <si>
    <t xml:space="preserve">Agents de nettoyage</t>
  </si>
  <si>
    <t xml:space="preserve">R015</t>
  </si>
  <si>
    <t xml:space="preserve">Gerbage de palettes à 6 m, racks non contrôlés</t>
  </si>
  <si>
    <t xml:space="preserve">Chute de palette depuis les racks</t>
  </si>
  <si>
    <t xml:space="preserve">Écrasement par charge</t>
  </si>
  <si>
    <t xml:space="preserve">Magasiniers</t>
  </si>
  <si>
    <t xml:space="preserve">R016</t>
  </si>
  <si>
    <t xml:space="preserve">Laborantin</t>
  </si>
  <si>
    <t xml:space="preserve">Manipulation de réactifs CMR sous sorbonne</t>
  </si>
  <si>
    <t xml:space="preserve">Projection / inhalation de réactif</t>
  </si>
  <si>
    <t xml:space="preserve">Intoxication aiguë</t>
  </si>
  <si>
    <t xml:space="preserve">Atteinte grave santé</t>
  </si>
  <si>
    <t xml:space="preserve">Laborantins</t>
  </si>
  <si>
    <t xml:space="preserve">R017</t>
  </si>
  <si>
    <t xml:space="preserve">Analyse d'eaux usées process</t>
  </si>
  <si>
    <t xml:space="preserve">Exposition à agents biologiques</t>
  </si>
  <si>
    <t xml:space="preserve">Infection</t>
  </si>
  <si>
    <t xml:space="preserve">Maladie infectieuse</t>
  </si>
  <si>
    <t xml:space="preserve">R018</t>
  </si>
  <si>
    <t xml:space="preserve">Opérateur</t>
  </si>
  <si>
    <t xml:space="preserve">Utilisation de meuleuses &gt; 4 h/jour</t>
  </si>
  <si>
    <t xml:space="preserve">Exposition prolongée aux vibrations</t>
  </si>
  <si>
    <t xml:space="preserve">Syndrome de Raynaud</t>
  </si>
  <si>
    <t xml:space="preserve">Atteinte vasculaire mains</t>
  </si>
  <si>
    <t xml:space="preserve">R019</t>
  </si>
  <si>
    <t xml:space="preserve">Pièces soudées stockées sans signalisation</t>
  </si>
  <si>
    <t xml:space="preserve">Contact avec pièce chaude</t>
  </si>
  <si>
    <t xml:space="preserve">Brûlure thermique</t>
  </si>
  <si>
    <t xml:space="preserve">Brûlure 2e degré</t>
  </si>
  <si>
    <t xml:space="preserve">R020</t>
  </si>
  <si>
    <t xml:space="preserve">Meulage à sec sans aspiration</t>
  </si>
  <si>
    <t xml:space="preserve">Inhalation de poussières métalliques</t>
  </si>
  <si>
    <t xml:space="preserve">Affection respiratoire</t>
  </si>
  <si>
    <t xml:space="preserve">Pneumoconiose</t>
  </si>
  <si>
    <t xml:space="preserve">R021</t>
  </si>
  <si>
    <t xml:space="preserve">Câblages provisoires vétustes en atelier</t>
  </si>
  <si>
    <t xml:space="preserve">Amorçage / court-circuit</t>
  </si>
  <si>
    <t xml:space="preserve">Départ de feu électrique</t>
  </si>
  <si>
    <t xml:space="preserve">Incendie, brûlures</t>
  </si>
  <si>
    <t xml:space="preserve">R022</t>
  </si>
  <si>
    <t xml:space="preserve">Manœuvres de camions sans guide au quai</t>
  </si>
  <si>
    <t xml:space="preserve">Heurt par véhicule en recul</t>
  </si>
  <si>
    <t xml:space="preserve">Écrasement piéton</t>
  </si>
  <si>
    <t xml:space="preserve">Décès</t>
  </si>
  <si>
    <t xml:space="preserve">R023</t>
  </si>
  <si>
    <t xml:space="preserve">Manager</t>
  </si>
  <si>
    <t xml:space="preserve">Surcharge, objectifs conflictuels, tensions</t>
  </si>
  <si>
    <t xml:space="preserve">Stress chronique</t>
  </si>
  <si>
    <t xml:space="preserve">Épuisement professionnel</t>
  </si>
  <si>
    <t xml:space="preserve">Burn-out, RPS</t>
  </si>
  <si>
    <t xml:space="preserve">Encadrement</t>
  </si>
  <si>
    <t xml:space="preserve">R024</t>
  </si>
  <si>
    <t xml:space="preserve">Utilisation d'échelles non conformes</t>
  </si>
  <si>
    <t xml:space="preserve">Chute depuis échelle</t>
  </si>
  <si>
    <t xml:space="preserve">Chute de 2 à 3 m</t>
  </si>
  <si>
    <t xml:space="preserve">Fractures</t>
  </si>
  <si>
    <t xml:space="preserve">R025</t>
  </si>
  <si>
    <t xml:space="preserve">Postes non réglables en hauteur</t>
  </si>
  <si>
    <t xml:space="preserve">Postures contraignantes répétées</t>
  </si>
  <si>
    <t xml:space="preserve">TMS épaule / dos</t>
  </si>
  <si>
    <t xml:space="preserve">TMS chroniques</t>
  </si>
  <si>
    <t xml:space="preserve">R026</t>
  </si>
  <si>
    <t xml:space="preserve">Vitesse excessive en allées étroites</t>
  </si>
  <si>
    <t xml:space="preserve">Renversement du chariot</t>
  </si>
  <si>
    <t xml:space="preserve">Écrasement du cariste</t>
  </si>
  <si>
    <t xml:space="preserve">Blessures graves</t>
  </si>
  <si>
    <t xml:space="preserve">Caristes</t>
  </si>
  <si>
    <t xml:space="preserve">R027</t>
  </si>
  <si>
    <t xml:space="preserve">Nettoyage cabine avec solvant, local peu ventilé</t>
  </si>
  <si>
    <t xml:space="preserve">Inhalation aiguë de vapeurs</t>
  </si>
  <si>
    <t xml:space="preserve">Malaise / intoxication</t>
  </si>
  <si>
    <t xml:space="preserve">Perte de connaissance</t>
  </si>
  <si>
    <t xml:space="preserve">R028</t>
  </si>
  <si>
    <t xml:space="preserve">Contrôleur</t>
  </si>
  <si>
    <t xml:space="preserve">Contrôles répétitifs sous cadence</t>
  </si>
  <si>
    <t xml:space="preserve">Gestes répétitifs</t>
  </si>
  <si>
    <t xml:space="preserve">TMS poignet</t>
  </si>
  <si>
    <t xml:space="preserve">Syndrome canal carpien</t>
  </si>
  <si>
    <t xml:space="preserve">Contrôleurs</t>
  </si>
  <si>
    <t xml:space="preserve">ID risque</t>
  </si>
  <si>
    <t xml:space="preserve">Action</t>
  </si>
  <si>
    <t xml:space="preserve">Date de début</t>
  </si>
  <si>
    <t xml:space="preserve">Échéance</t>
  </si>
  <si>
    <t xml:space="preserve">% avancement</t>
  </si>
  <si>
    <t xml:space="preserve">Commentaires</t>
  </si>
  <si>
    <t xml:space="preserve">Date de clôture</t>
  </si>
  <si>
    <t xml:space="preserve">Jours restants</t>
  </si>
  <si>
    <t xml:space="preserve">Retard (j)</t>
  </si>
  <si>
    <t xml:space="preserve">Alerte</t>
  </si>
  <si>
    <t xml:space="preserve">Éloigner le stockage de solvants du poste soudure + zonage ATEX</t>
  </si>
  <si>
    <t xml:space="preserve">Zonage réalisé et affiché</t>
  </si>
  <si>
    <t xml:space="preserve">Mettre en place un permis de feu systématique</t>
  </si>
  <si>
    <t xml:space="preserve">Formulaire déployé</t>
  </si>
  <si>
    <t xml:space="preserve">Séparer les flux piétons / chariots (marquage + barrières)</t>
  </si>
  <si>
    <t xml:space="preserve">Allées piétonnes créées</t>
  </si>
  <si>
    <t xml:space="preserve">Installer des miroirs et avertisseurs aux intersections</t>
  </si>
  <si>
    <t xml:space="preserve">6 miroirs posés</t>
  </si>
  <si>
    <t xml:space="preserve">Généraliser la consignation LOTO + vérification VAT</t>
  </si>
  <si>
    <t xml:space="preserve">Kits LOTO distribués</t>
  </si>
  <si>
    <t xml:space="preserve">Installer des carters à interrupteur de sécurité sur 4 machines</t>
  </si>
  <si>
    <t xml:space="preserve">3 machines équipées / 4</t>
  </si>
  <si>
    <t xml:space="preserve">Encoffrer le compresseur + capotage machines bruyantes</t>
  </si>
  <si>
    <t xml:space="preserve">Devis validé, travaux lancés</t>
  </si>
  <si>
    <t xml:space="preserve">Remplacer la peinture solvantée par une gamme hydrodiluable</t>
  </si>
  <si>
    <t xml:space="preserve">Essais en cours avec fournisseur</t>
  </si>
  <si>
    <t xml:space="preserve">Installer une double commande sur la presse d'emmanchement</t>
  </si>
  <si>
    <t xml:space="preserve">Pièce en attente de livraison</t>
  </si>
  <si>
    <t xml:space="preserve">Doter les postes de tables élévatrices + formation gestes/postures</t>
  </si>
  <si>
    <t xml:space="preserve">2 tables reçues sur 5</t>
  </si>
  <si>
    <t xml:space="preserve">Installer une aspiration à la source sur postes de meulage</t>
  </si>
  <si>
    <t xml:space="preserve">Réseau d'aspiration en pose</t>
  </si>
  <si>
    <t xml:space="preserve">Remettre à niveau les câblages provisoires (audit + travaux)</t>
  </si>
  <si>
    <t xml:space="preserve">Audit terminé</t>
  </si>
  <si>
    <t xml:space="preserve">Mettre en place un protocole de chargement avec chef de manœuvre</t>
  </si>
  <si>
    <t xml:space="preserve">Protocole rédigé, en test</t>
  </si>
  <si>
    <t xml:space="preserve">Installer des lignes de vie et garde-corps en toiture</t>
  </si>
  <si>
    <t xml:space="preserve">Étude technique validée</t>
  </si>
  <si>
    <t xml:space="preserve">Déployer une démarche RPS (diagnostic + plan managérial)</t>
  </si>
  <si>
    <t xml:space="preserve">Questionnaire diffusé</t>
  </si>
  <si>
    <t xml:space="preserve">Régler les postes en hauteur + rotation des tâches</t>
  </si>
  <si>
    <t xml:space="preserve">Planifié T3</t>
  </si>
  <si>
    <t xml:space="preserve">Limiteur de vitesse + plan de circulation magasin</t>
  </si>
  <si>
    <t xml:space="preserve">Commande passée</t>
  </si>
  <si>
    <t xml:space="preserve">Écrans de soudage + rideaux anti-UV entre postes</t>
  </si>
  <si>
    <t xml:space="preserve">Rideaux installés</t>
  </si>
  <si>
    <t xml:space="preserve">Criticité initiale</t>
  </si>
  <si>
    <t xml:space="preserve">Niveau initial</t>
  </si>
  <si>
    <t xml:space="preserve">Nouvelle Gravité</t>
  </si>
  <si>
    <t xml:space="preserve">Nouvelle Probabilité</t>
  </si>
  <si>
    <t xml:space="preserve">Nouvelle Fréquence</t>
  </si>
  <si>
    <t xml:space="preserve">Nouveau Nb pers.</t>
  </si>
  <si>
    <t xml:space="preserve">Criticité résiduelle</t>
  </si>
  <si>
    <t xml:space="preserve">Niveau résiduel</t>
  </si>
  <si>
    <t xml:space="preserve">Gain</t>
  </si>
  <si>
    <t xml:space="preserve">% de réduction</t>
  </si>
  <si>
    <t xml:space="preserve">🗺️  CARTOGRAPHIE DES RISQUES — MATRICE 5×5 (Gravité × Probabilité)</t>
  </si>
  <si>
    <t xml:space="preserve">① RISQUES BRUTS — nombre de risques par case</t>
  </si>
  <si>
    <t xml:space="preserve">PROBABILITÉ  →</t>
  </si>
  <si>
    <t xml:space="preserve">G \ P</t>
  </si>
  <si>
    <t xml:space="preserve">P1</t>
  </si>
  <si>
    <t xml:space="preserve">P2</t>
  </si>
  <si>
    <t xml:space="preserve">P3</t>
  </si>
  <si>
    <t xml:space="preserve">P4</t>
  </si>
  <si>
    <t xml:space="preserve">P5</t>
  </si>
  <si>
    <t xml:space="preserve">G5</t>
  </si>
  <si>
    <t xml:space="preserve">G4</t>
  </si>
  <si>
    <t xml:space="preserve">G3</t>
  </si>
  <si>
    <t xml:space="preserve">G2</t>
  </si>
  <si>
    <t xml:space="preserve">G1</t>
  </si>
  <si>
    <t xml:space="preserve">Chaque case affiche le nombre de risques (les cases vides = 0). Couleur = zone de risque G×P.</t>
  </si>
  <si>
    <t xml:space="preserve">② RISQUES RÉSIDUELS (après actions)</t>
  </si>
  <si>
    <t xml:space="preserve">Basée sur les nouvelles cotations saisies dans « Analyse après actions ».</t>
  </si>
  <si>
    <t xml:space="preserve">LÉGENDE</t>
  </si>
  <si>
    <t xml:space="preserve">Zone faible (G×P ≤ 4)</t>
  </si>
  <si>
    <t xml:space="preserve">Zone moyenne (5 – 9)</t>
  </si>
  <si>
    <t xml:space="preserve">Zone élevée (10 – 15)</t>
  </si>
  <si>
    <t xml:space="preserve">Zone critique (≥ 16)</t>
  </si>
  <si>
    <t xml:space="preserve">NB : la criticité complète (G×P×F×N) est calculée dans « Analyse des risques » ; cette matrice positionne Gravité × Probabilité.</t>
  </si>
  <si>
    <t xml:space="preserve">Zone de calcul des graphiques (feuille masquée)</t>
  </si>
  <si>
    <t xml:space="preserve">Nb</t>
  </si>
  <si>
    <t xml:space="preserve">Nb risques</t>
  </si>
  <si>
    <t xml:space="preserve">Famille</t>
  </si>
  <si>
    <t xml:space="preserve">Étape</t>
  </si>
  <si>
    <t xml:space="preserve">Criticité cumulée</t>
  </si>
  <si>
    <t xml:space="preserve">Clé</t>
  </si>
  <si>
    <t xml:space="preserve">Avant actions</t>
  </si>
  <si>
    <t xml:space="preserve">Après actions</t>
  </si>
  <si>
    <t xml:space="preserve">📊  RAPPORTS AUTOMATIQUES — SYNTHÈSES DYNAMIQUES</t>
  </si>
  <si>
    <t xml:space="preserve">① PAR SERVICE</t>
  </si>
  <si>
    <t xml:space="preserve">Criticité moy.</t>
  </si>
  <si>
    <t xml:space="preserve">Critiques</t>
  </si>
  <si>
    <t xml:space="preserve">Élevés</t>
  </si>
  <si>
    <t xml:space="preserve">Moyens</t>
  </si>
  <si>
    <t xml:space="preserve">Faibles</t>
  </si>
  <si>
    <t xml:space="preserve">② PAR DÉPARTEMENT</t>
  </si>
  <si>
    <t xml:space="preserve">③ PAR ACTIVITÉ</t>
  </si>
  <si>
    <t xml:space="preserve">④ PAR FAMILLE DE DANGER</t>
  </si>
  <si>
    <t xml:space="preserve">⑤ PAR RESPONSABLE (plan d'actions)</t>
  </si>
  <si>
    <t xml:space="preserve">Nb actions</t>
  </si>
  <si>
    <t xml:space="preserve">Ouvertes</t>
  </si>
  <si>
    <t xml:space="preserve">Clôturées</t>
  </si>
  <si>
    <t xml:space="preserve">% avanc. moy.</t>
  </si>
  <si>
    <t xml:space="preserve">⑥ PAR PÉRIODE (mois — année 2026)</t>
  </si>
  <si>
    <t xml:space="preserve">Mois</t>
  </si>
  <si>
    <t xml:space="preserve">Risques identifiés</t>
  </si>
  <si>
    <t xml:space="preserve">Actions à échéance</t>
  </si>
  <si>
    <t xml:space="preserve">Actions clôturées</t>
  </si>
  <si>
    <t xml:space="preserve">Janvier 2026</t>
  </si>
  <si>
    <t xml:space="preserve">Février 2026</t>
  </si>
  <si>
    <t xml:space="preserve">Mars 2026</t>
  </si>
  <si>
    <t xml:space="preserve">Avril 2026</t>
  </si>
  <si>
    <t xml:space="preserve">Mai 2026</t>
  </si>
  <si>
    <t xml:space="preserve">Juin 2026</t>
  </si>
  <si>
    <t xml:space="preserve">Juillet 2026</t>
  </si>
  <si>
    <t xml:space="preserve">Août 2026</t>
  </si>
  <si>
    <t xml:space="preserve">Septembre 2026</t>
  </si>
  <si>
    <t xml:space="preserve">Octobre 2026</t>
  </si>
  <si>
    <t xml:space="preserve">Novembre 2026</t>
  </si>
  <si>
    <t xml:space="preserve">Décembre 2026</t>
  </si>
  <si>
    <t xml:space="preserve">⑦ VUE DYNAMIQUE 365 — Risques critiques et élevés triés par criticité (FILTER + SORT + LET)</t>
  </si>
  <si>
    <t xml:space="preserve">Cette liste se recalcule automatiquement à l'ouverture dans Excel 365 (fonctions matricielles dynamiques).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</si>
</sst>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"/>
    <numFmt numFmtId="167" formatCode="0%"/>
    <numFmt numFmtId="168" formatCode="General"/>
    <numFmt numFmtId="169" formatCode="dd/mm/yyyy"/>
    <numFmt numFmtId="170" formatCode="0;;&quot;&quot;"/>
  </numFmts>
  <fonts count="3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Segoe UI"/>
      <family val="0"/>
      <charset val="1"/>
    </font>
    <font>
      <sz val="10"/>
      <color rgb="FFFFFFFF"/>
      <name val="Segoe UI"/>
      <family val="0"/>
      <charset val="1"/>
    </font>
    <font>
      <b val="true"/>
      <sz val="11"/>
      <color rgb="FF1F3864"/>
      <name val="Segoe UI"/>
      <family val="0"/>
      <charset val="1"/>
    </font>
    <font>
      <sz val="9"/>
      <color rgb="FF000000"/>
      <name val="Segoe UI"/>
      <family val="0"/>
      <charset val="1"/>
    </font>
    <font>
      <i val="true"/>
      <sz val="8"/>
      <color rgb="FF808080"/>
      <name val="Segoe UI"/>
      <family val="0"/>
      <charset val="1"/>
    </font>
    <font>
      <b val="true"/>
      <sz val="13"/>
      <color rgb="FFFFFFFF"/>
      <name val="Segoe UI"/>
      <family val="0"/>
      <charset val="1"/>
    </font>
    <font>
      <b val="true"/>
      <sz val="10"/>
      <color rgb="FFFFFFFF"/>
      <name val="Segoe UI"/>
      <family val="0"/>
      <charset val="1"/>
    </font>
    <font>
      <b val="true"/>
      <sz val="11"/>
      <color rgb="FFFFFFFF"/>
      <name val="Segoe UI"/>
      <family val="0"/>
      <charset val="1"/>
    </font>
    <font>
      <b val="true"/>
      <sz val="9"/>
      <color rgb="FFFFFFFF"/>
      <name val="Segoe UI"/>
      <family val="0"/>
      <charset val="1"/>
    </font>
    <font>
      <b val="true"/>
      <sz val="10"/>
      <color rgb="FF2E75B6"/>
      <name val="Segoe UI"/>
      <family val="0"/>
      <charset val="1"/>
    </font>
    <font>
      <i val="true"/>
      <sz val="9"/>
      <color rgb="FF000000"/>
      <name val="Segoe UI"/>
      <family val="0"/>
      <charset val="1"/>
    </font>
    <font>
      <b val="true"/>
      <sz val="18"/>
      <color rgb="FFFFFFFF"/>
      <name val="Segoe UI"/>
      <family val="0"/>
      <charset val="1"/>
    </font>
    <font>
      <b val="true"/>
      <sz val="8"/>
      <color rgb="FFFFFFFF"/>
      <name val="Segoe UI"/>
      <family val="0"/>
      <charset val="1"/>
    </font>
    <font>
      <b val="true"/>
      <sz val="22"/>
      <color rgb="FF1F3864"/>
      <name val="Segoe UI"/>
      <family val="0"/>
      <charset val="1"/>
    </font>
    <font>
      <b val="true"/>
      <sz val="22"/>
      <color rgb="FF2E75B6"/>
      <name val="Segoe UI"/>
      <family val="0"/>
      <charset val="1"/>
    </font>
    <font>
      <b val="true"/>
      <sz val="22"/>
      <color rgb="FFC00000"/>
      <name val="Segoe UI"/>
      <family val="0"/>
      <charset val="1"/>
    </font>
    <font>
      <b val="true"/>
      <sz val="22"/>
      <color rgb="FFED7D31"/>
      <name val="Segoe UI"/>
      <family val="0"/>
      <charset val="1"/>
    </font>
    <font>
      <b val="true"/>
      <sz val="22"/>
      <color rgb="FFBF9000"/>
      <name val="Segoe UI"/>
      <family val="0"/>
      <charset val="1"/>
    </font>
    <font>
      <b val="true"/>
      <sz val="22"/>
      <color rgb="FF00B050"/>
      <name val="Segoe UI"/>
      <family val="0"/>
      <charset val="1"/>
    </font>
    <font>
      <b val="true"/>
      <sz val="22"/>
      <color rgb="FF808080"/>
      <name val="Segoe UI"/>
      <family val="0"/>
      <charset val="1"/>
    </font>
    <font>
      <i val="true"/>
      <sz val="7"/>
      <color rgb="FF808080"/>
      <name val="Segoe UI"/>
      <family val="0"/>
      <charset val="1"/>
    </font>
    <font>
      <b val="true"/>
      <sz val="22"/>
      <color rgb="FF70AD47"/>
      <name val="Segoe UI"/>
      <family val="0"/>
      <charset val="1"/>
    </font>
    <font>
      <b val="true"/>
      <sz val="9"/>
      <color rgb="FF000000"/>
      <name val="Segoe U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Segoe UI"/>
      <family val="0"/>
      <charset val="1"/>
    </font>
    <font>
      <b val="true"/>
      <sz val="14"/>
      <color rgb="FFFFFFFF"/>
      <name val="Segoe UI"/>
      <family val="0"/>
      <charset val="1"/>
    </font>
    <font>
      <b val="true"/>
      <sz val="9"/>
      <color rgb="FF808080"/>
      <name val="Segoe UI"/>
      <family val="0"/>
      <charset val="1"/>
    </font>
    <font>
      <b val="true"/>
      <sz val="12"/>
      <color rgb="FF000000"/>
      <name val="Segoe UI"/>
      <family val="0"/>
      <charset val="1"/>
    </font>
    <font>
      <b val="true"/>
      <sz val="12"/>
      <color rgb="FFFFFFFF"/>
      <name val="Segoe UI"/>
      <family val="0"/>
      <charset val="1"/>
    </font>
    <font>
      <b val="true"/>
      <sz val="10"/>
      <color rgb="FF1F3864"/>
      <name val="Segoe UI"/>
      <family val="0"/>
      <charset val="1"/>
    </font>
    <font>
      <b val="true"/>
      <sz val="8"/>
      <color rgb="FF1F3864"/>
      <name val="Segoe UI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75B6"/>
        <bgColor rgb="FF4F81BD"/>
      </patternFill>
    </fill>
    <fill>
      <patternFill patternType="solid">
        <fgColor rgb="FFDEEBF7"/>
        <bgColor rgb="FFF2F2F2"/>
      </patternFill>
    </fill>
    <fill>
      <patternFill patternType="solid">
        <fgColor rgb="FFFFFFFF"/>
        <bgColor rgb="FFFDF2F2"/>
      </patternFill>
    </fill>
    <fill>
      <patternFill patternType="solid">
        <fgColor rgb="FFF2F2F2"/>
        <bgColor rgb="FFFDF2F2"/>
      </patternFill>
    </fill>
    <fill>
      <patternFill patternType="solid">
        <fgColor rgb="FF00B050"/>
        <bgColor rgb="FF008080"/>
      </patternFill>
    </fill>
    <fill>
      <patternFill patternType="solid">
        <fgColor rgb="FFFFC000"/>
        <bgColor rgb="FFFFFF00"/>
      </patternFill>
    </fill>
    <fill>
      <patternFill patternType="solid">
        <fgColor rgb="FFED7D31"/>
        <bgColor rgb="FFFF8080"/>
      </patternFill>
    </fill>
    <fill>
      <patternFill patternType="solid">
        <fgColor rgb="FFC00000"/>
        <bgColor rgb="FF800000"/>
      </patternFill>
    </fill>
    <fill>
      <patternFill patternType="solid">
        <fgColor rgb="FFBF9000"/>
        <bgColor rgb="FFED7D31"/>
      </patternFill>
    </fill>
    <fill>
      <patternFill patternType="solid">
        <fgColor rgb="FF808080"/>
        <bgColor rgb="FF878787"/>
      </patternFill>
    </fill>
    <fill>
      <patternFill patternType="solid">
        <fgColor rgb="FF70AD47"/>
        <bgColor rgb="FF87878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2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5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2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2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32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3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3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3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7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8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6">
    <dxf>
      <font>
        <name val="Segoe UI"/>
        <charset val="1"/>
        <family val="0"/>
        <b val="1"/>
        <color rgb="FFFFFFFF"/>
      </font>
      <fill>
        <patternFill>
          <bgColor rgb="FFC00000"/>
        </patternFill>
      </fill>
    </dxf>
    <dxf>
      <font>
        <name val="Segoe UI"/>
        <charset val="1"/>
        <family val="0"/>
        <b val="1"/>
        <color rgb="FFFFFFFF"/>
      </font>
      <fill>
        <patternFill>
          <bgColor rgb="FFED7D31"/>
        </patternFill>
      </fill>
    </dxf>
    <dxf>
      <font>
        <name val="Segoe UI"/>
        <charset val="1"/>
        <family val="0"/>
        <b val="1"/>
        <color rgb="FF000000"/>
      </font>
      <fill>
        <patternFill>
          <bgColor rgb="FFFFC000"/>
        </patternFill>
      </fill>
    </dxf>
    <dxf>
      <font>
        <name val="Segoe UI"/>
        <charset val="1"/>
        <family val="0"/>
        <b val="1"/>
        <color rgb="FFFFFFFF"/>
      </font>
      <fill>
        <patternFill>
          <bgColor rgb="FF00B050"/>
        </patternFill>
      </fill>
    </dxf>
    <dxf>
      <fill>
        <patternFill patternType="solid">
          <fgColor rgb="FF1F386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2EDB5"/>
          <bgColor rgb="FF000000"/>
        </patternFill>
      </fill>
    </dxf>
    <dxf>
      <fill>
        <patternFill patternType="solid">
          <fgColor rgb="FFF4B084"/>
          <bgColor rgb="FF000000"/>
        </patternFill>
      </fill>
    </dxf>
    <dxf>
      <fill>
        <patternFill patternType="solid">
          <fgColor rgb="FFFACE90"/>
          <bgColor rgb="FF000000"/>
        </patternFill>
      </fill>
    </dxf>
    <dxf>
      <fill>
        <patternFill patternType="solid">
          <fgColor rgb="FFFFEB9C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 patternType="solid">
          <fgColor rgb="FF00B050"/>
          <bgColor rgb="FF000000"/>
        </patternFill>
      </fill>
    </dxf>
    <dxf>
      <fill>
        <patternFill patternType="solid">
          <fgColor rgb="FFC00000"/>
          <bgColor rgb="FF000000"/>
        </patternFill>
      </fill>
    </dxf>
    <dxf>
      <fill>
        <patternFill patternType="solid">
          <fgColor rgb="FFED7D31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DF2F2"/>
          <bgColor rgb="FF000000"/>
        </patternFill>
      </fill>
    </dxf>
    <dxf>
      <fill>
        <patternFill patternType="solid">
          <fgColor rgb="FF2E75B6"/>
          <bgColor rgb="FF000000"/>
        </patternFill>
      </fill>
    </dxf>
    <dxf>
      <fill>
        <patternFill patternType="solid">
          <fgColor rgb="FF808080"/>
          <bgColor rgb="FF000000"/>
        </patternFill>
      </fill>
    </dxf>
    <dxf>
      <fill>
        <patternFill patternType="solid">
          <fgColor rgb="FFFCE4E4"/>
          <bgColor rgb="FF000000"/>
        </patternFill>
      </fill>
    </dxf>
    <dxf>
      <font>
        <name val="Segoe UI"/>
        <charset val="1"/>
        <family val="0"/>
        <b val="1"/>
        <color rgb="FFFFFFFF"/>
      </font>
      <fill>
        <patternFill>
          <bgColor rgb="FF2E75B6"/>
        </patternFill>
      </fill>
    </dxf>
    <dxf>
      <font>
        <name val="Segoe UI"/>
        <charset val="1"/>
        <family val="0"/>
        <b val="1"/>
        <color rgb="FFFFFFFF"/>
      </font>
      <fill>
        <patternFill>
          <bgColor rgb="FF808080"/>
        </patternFill>
      </fill>
    </dxf>
    <dxf>
      <font>
        <name val="Segoe UI"/>
        <charset val="1"/>
        <family val="0"/>
        <b val="1"/>
        <color rgb="FF000000"/>
      </font>
      <fill>
        <patternFill>
          <bgColor rgb="FFBFBFBF"/>
        </patternFill>
      </fill>
    </dxf>
    <dxf>
      <font>
        <name val="Segoe UI"/>
        <charset val="1"/>
        <family val="0"/>
        <b val="1"/>
        <color rgb="FFC00000"/>
      </font>
      <fill>
        <patternFill>
          <bgColor rgb="FFFCE4E4"/>
        </patternFill>
      </fill>
    </dxf>
    <dxf>
      <fill>
        <patternFill>
          <bgColor rgb="FFFDF2F2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DF2F2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CE4E4"/>
      <rgbColor rgb="FF2E75B6"/>
      <rgbColor rgb="FF33CCCC"/>
      <rgbColor rgb="FF70AD47"/>
      <rgbColor rgb="FFFFC000"/>
      <rgbColor rgb="FFBF9000"/>
      <rgbColor rgb="FFED7D31"/>
      <rgbColor rgb="FF4F81BD"/>
      <rgbColor rgb="FF878787"/>
      <rgbColor rgb="FF1F3864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Répartition des risques par niveau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Calculs!B3</c:f>
              <c:strCache>
                <c:ptCount val="1"/>
                <c:pt idx="0">
                  <c:v>Nb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c00000"/>
              </a:solidFill>
              <a:ln w="0">
                <a:noFill/>
              </a:ln>
            </c:spPr>
          </c:dPt>
          <c:dPt>
            <c:idx val="1"/>
            <c:spPr>
              <a:solidFill>
                <a:srgbClr val="ed7d31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c00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00b050"/>
              </a:solidFill>
              <a:ln w="0">
                <a:noFill/>
              </a:ln>
            </c:spPr>
          </c:dPt>
          <c:dLbls>
            <c:numFmt formatCode="General" sourceLinked="1"/>
            <c:dLbl>
              <c:idx val="0"/>
              <c:numFmt formatCode="General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numFmt formatCode="General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numFmt formatCode="General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numFmt formatCode="General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Calculs!$A$4:$A$7</c:f>
              <c:strCache>
                <c:ptCount val="4"/>
                <c:pt idx="0">
                  <c:v>Critique</c:v>
                </c:pt>
                <c:pt idx="1">
                  <c:v>Élevé</c:v>
                </c:pt>
                <c:pt idx="2">
                  <c:v>Moyen</c:v>
                </c:pt>
                <c:pt idx="3">
                  <c:v>Faible</c:v>
                </c:pt>
              </c:strCache>
            </c:strRef>
          </c:cat>
          <c:val>
            <c:numRef>
              <c:f>Calculs!$B$4:$B$7</c:f>
              <c:numCache>
                <c:formatCode>General</c:formatCode>
                <c:ptCount val="4"/>
                <c:pt idx="0">
                  <c:v>4</c:v>
                </c:pt>
                <c:pt idx="1">
                  <c:v>6</c:v>
                </c:pt>
                <c:pt idx="2">
                  <c:v>15</c:v>
                </c:pt>
                <c:pt idx="3">
                  <c:v>3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Risques par service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Calculs!E3</c:f>
              <c:strCache>
                <c:ptCount val="1"/>
                <c:pt idx="0">
                  <c:v>Nb risques</c:v>
                </c:pt>
              </c:strCache>
            </c:strRef>
          </c:tx>
          <c:spPr>
            <a:solidFill>
              <a:srgbClr val="2e75b6"/>
            </a:solidFill>
            <a:ln w="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Calculs!$D$4:$D$13</c:f>
              <c:strCache>
                <c:ptCount val="10"/>
                <c:pt idx="0">
                  <c:v>Usinage</c:v>
                </c:pt>
                <c:pt idx="1">
                  <c:v>Assemblage</c:v>
                </c:pt>
                <c:pt idx="2">
                  <c:v>Soudure</c:v>
                </c:pt>
                <c:pt idx="3">
                  <c:v>Peinture</c:v>
                </c:pt>
                <c:pt idx="4">
                  <c:v>Maintenance mécanique</c:v>
                </c:pt>
                <c:pt idx="5">
                  <c:v>Maintenance électrique</c:v>
                </c:pt>
                <c:pt idx="6">
                  <c:v>Magasin</c:v>
                </c:pt>
                <c:pt idx="7">
                  <c:v>Expédition</c:v>
                </c:pt>
                <c:pt idx="8">
                  <c:v>Laboratoire</c:v>
                </c:pt>
                <c:pt idx="9">
                  <c:v>Ressources Humaines</c:v>
                </c:pt>
              </c:strCache>
            </c:strRef>
          </c:cat>
          <c:val>
            <c:numRef>
              <c:f>Calculs!$E$4:$E$13</c:f>
              <c:numCache>
                <c:formatCode>General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</c:numCache>
            </c:numRef>
          </c:val>
        </c:ser>
        <c:gapWidth val="60"/>
        <c:overlap val="0"/>
        <c:axId val="62397723"/>
        <c:axId val="44252720"/>
      </c:barChart>
      <c:catAx>
        <c:axId val="6239772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252720"/>
        <c:crosses val="autoZero"/>
        <c:auto val="1"/>
        <c:lblAlgn val="ctr"/>
        <c:lblOffset val="100"/>
        <c:noMultiLvlLbl val="0"/>
      </c:catAx>
      <c:valAx>
        <c:axId val="4425272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239772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Risques par type de danger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Calculs!H3</c:f>
              <c:strCache>
                <c:ptCount val="1"/>
                <c:pt idx="0">
                  <c:v>Nb</c:v>
                </c:pt>
              </c:strCache>
            </c:strRef>
          </c:tx>
          <c:spPr>
            <a:solidFill>
              <a:srgbClr val="1f3864"/>
            </a:solidFill>
            <a:ln w="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Calculs!$G$4:$G$15</c:f>
              <c:strCache>
                <c:ptCount val="12"/>
                <c:pt idx="0">
                  <c:v>Mécanique</c:v>
                </c:pt>
                <c:pt idx="1">
                  <c:v>Électrique</c:v>
                </c:pt>
                <c:pt idx="2">
                  <c:v>Chimique</c:v>
                </c:pt>
                <c:pt idx="3">
                  <c:v>Physique - Bruit / Vibrations</c:v>
                </c:pt>
                <c:pt idx="4">
                  <c:v>Ergonomique</c:v>
                </c:pt>
                <c:pt idx="5">
                  <c:v>Chute de hauteur</c:v>
                </c:pt>
                <c:pt idx="6">
                  <c:v>Incendie / Explosion</c:v>
                </c:pt>
                <c:pt idx="7">
                  <c:v>Circulation / Engins</c:v>
                </c:pt>
                <c:pt idx="8">
                  <c:v>Psychosocial</c:v>
                </c:pt>
                <c:pt idx="9">
                  <c:v>Thermique</c:v>
                </c:pt>
                <c:pt idx="10">
                  <c:v>Biologique</c:v>
                </c:pt>
                <c:pt idx="11">
                  <c:v>Rayonnements</c:v>
                </c:pt>
              </c:strCache>
            </c:strRef>
          </c:cat>
          <c:val>
            <c:numRef>
              <c:f>Calculs!$H$4:$H$15</c:f>
              <c:numCache>
                <c:formatCode>General</c:formatCode>
                <c:ptCount val="12"/>
                <c:pt idx="0">
                  <c:v>5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</c:ser>
        <c:gapWidth val="60"/>
        <c:overlap val="0"/>
        <c:axId val="38192741"/>
        <c:axId val="18593171"/>
      </c:barChart>
      <c:catAx>
        <c:axId val="3819274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8593171"/>
        <c:crosses val="autoZero"/>
        <c:auto val="1"/>
        <c:lblAlgn val="ctr"/>
        <c:lblOffset val="100"/>
        <c:noMultiLvlLbl val="0"/>
      </c:catAx>
      <c:valAx>
        <c:axId val="185931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819274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Risques par activité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Calculs!K3</c:f>
              <c:strCache>
                <c:ptCount val="1"/>
                <c:pt idx="0">
                  <c:v>Nb</c:v>
                </c:pt>
              </c:strCache>
            </c:strRef>
          </c:tx>
          <c:spPr>
            <a:solidFill>
              <a:srgbClr val="ed7d31"/>
            </a:solidFill>
            <a:ln w="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Calculs!$J$4:$J$15</c:f>
              <c:strCache>
                <c:ptCount val="12"/>
                <c:pt idx="0">
                  <c:v>Manutention manuelle</c:v>
                </c:pt>
                <c:pt idx="1">
                  <c:v>Manutention mécanique</c:v>
                </c:pt>
                <c:pt idx="2">
                  <c:v>Travail en hauteur</c:v>
                </c:pt>
                <c:pt idx="3">
                  <c:v>Soudage</c:v>
                </c:pt>
                <c:pt idx="4">
                  <c:v>Usinage</c:v>
                </c:pt>
                <c:pt idx="5">
                  <c:v>Peinture industrielle</c:v>
                </c:pt>
                <c:pt idx="6">
                  <c:v>Contrôle qualité</c:v>
                </c:pt>
                <c:pt idx="7">
                  <c:v>Conduite d'engins</c:v>
                </c:pt>
                <c:pt idx="8">
                  <c:v>Travaux électriques</c:v>
                </c:pt>
                <c:pt idx="9">
                  <c:v>Nettoyage industriel</c:v>
                </c:pt>
                <c:pt idx="10">
                  <c:v>Travail administratif</c:v>
                </c:pt>
                <c:pt idx="11">
                  <c:v>Chargement / Déchargement</c:v>
                </c:pt>
              </c:strCache>
            </c:strRef>
          </c:cat>
          <c:val>
            <c:numRef>
              <c:f>Calculs!$K$4:$K$15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</c:ser>
        <c:gapWidth val="150"/>
        <c:overlap val="0"/>
        <c:axId val="16775151"/>
        <c:axId val="26714512"/>
      </c:barChart>
      <c:catAx>
        <c:axId val="1677515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6714512"/>
        <c:crosses val="autoZero"/>
        <c:auto val="1"/>
        <c:lblAlgn val="ctr"/>
        <c:lblOffset val="100"/>
        <c:noMultiLvlLbl val="0"/>
      </c:catAx>
      <c:valAx>
        <c:axId val="2671451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677515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Plan d'actions par statut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Calculs!N3</c:f>
              <c:strCache>
                <c:ptCount val="1"/>
                <c:pt idx="0">
                  <c:v>Nb</c:v>
                </c:pt>
              </c:strCache>
            </c:strRef>
          </c:tx>
          <c:spPr>
            <a:solidFill>
              <a:srgbClr val="808080"/>
            </a:solidFill>
            <a:ln w="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Calculs!$M$4:$M$8</c:f>
              <c:strCache>
                <c:ptCount val="5"/>
                <c:pt idx="0">
                  <c:v>À faire</c:v>
                </c:pt>
                <c:pt idx="1">
                  <c:v>En cours</c:v>
                </c:pt>
                <c:pt idx="2">
                  <c:v>En retard</c:v>
                </c:pt>
                <c:pt idx="3">
                  <c:v>Clôturée</c:v>
                </c:pt>
                <c:pt idx="4">
                  <c:v>Annulée</c:v>
                </c:pt>
              </c:strCache>
            </c:strRef>
          </c:cat>
          <c:val>
            <c:numRef>
              <c:f>Calculs!$N$4:$N$8</c:f>
              <c:numCache>
                <c:formatCode>General</c:formatCode>
                <c:ptCount val="5"/>
                <c:pt idx="0">
                  <c:v>2</c:v>
                </c:pt>
                <c:pt idx="1">
                  <c:v>8</c:v>
                </c:pt>
                <c:pt idx="2">
                  <c:v>2</c:v>
                </c:pt>
                <c:pt idx="3">
                  <c:v>6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5581295"/>
        <c:axId val="67504317"/>
      </c:barChart>
      <c:catAx>
        <c:axId val="558129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7504317"/>
        <c:crosses val="autoZero"/>
        <c:auto val="1"/>
        <c:lblAlgn val="ctr"/>
        <c:lblOffset val="100"/>
        <c:noMultiLvlLbl val="0"/>
      </c:catAx>
      <c:valAx>
        <c:axId val="6750431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58129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Évolution des risques après actions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Calculs!Q3</c:f>
              <c:strCache>
                <c:ptCount val="1"/>
                <c:pt idx="0">
                  <c:v>Criticité cumulée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ed7d31"/>
              </a:solidFill>
              <a:ln w="0">
                <a:noFill/>
              </a:ln>
            </c:spPr>
          </c:dPt>
          <c:dPt>
            <c:idx val="1"/>
            <c:invertIfNegative val="0"/>
            <c:spPr>
              <a:solidFill>
                <a:srgbClr val="00b050"/>
              </a:solidFill>
              <a:ln w="0">
                <a:noFill/>
              </a:ln>
            </c:spPr>
          </c:dPt>
          <c:dLbls>
            <c:numFmt formatCode="General" sourceLinked="1"/>
            <c:dLbl>
              <c:idx val="0"/>
              <c:numFmt formatCode="General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outEnd"/>
              <c:showLegendKey val="1"/>
              <c:showVal val="1"/>
              <c:showCatName val="1"/>
              <c:showSerName val="1"/>
              <c:showPercent val="0"/>
              <c:separator>; </c:separator>
            </c:dLbl>
            <c:dLbl>
              <c:idx val="1"/>
              <c:numFmt formatCode="General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outEnd"/>
              <c:showLegendKey val="1"/>
              <c:showVal val="1"/>
              <c:showCatName val="1"/>
              <c:showSerName val="1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Calculs!$P$4:$P$5</c:f>
              <c:strCache>
                <c:ptCount val="2"/>
                <c:pt idx="0">
                  <c:v>Avant actions</c:v>
                </c:pt>
                <c:pt idx="1">
                  <c:v>Après actions</c:v>
                </c:pt>
              </c:strCache>
            </c:strRef>
          </c:cat>
          <c:val>
            <c:numRef>
              <c:f>Calculs!$Q$4:$Q$5</c:f>
              <c:numCache>
                <c:formatCode>General</c:formatCode>
                <c:ptCount val="2"/>
                <c:pt idx="0">
                  <c:v>1810</c:v>
                </c:pt>
                <c:pt idx="1">
                  <c:v>761</c:v>
                </c:pt>
              </c:numCache>
            </c:numRef>
          </c:val>
        </c:ser>
        <c:gapWidth val="40"/>
        <c:overlap val="0"/>
        <c:axId val="88060493"/>
        <c:axId val="71698432"/>
      </c:barChart>
      <c:catAx>
        <c:axId val="880604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1698432"/>
        <c:crosses val="autoZero"/>
        <c:auto val="1"/>
        <c:lblAlgn val="ctr"/>
        <c:lblOffset val="100"/>
        <c:noMultiLvlLbl val="0"/>
      </c:catAx>
      <c:valAx>
        <c:axId val="7169843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806049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14</xdr:row>
      <xdr:rowOff>0</xdr:rowOff>
    </xdr:from>
    <xdr:to>
      <xdr:col>11</xdr:col>
      <xdr:colOff>473760</xdr:colOff>
      <xdr:row>21</xdr:row>
      <xdr:rowOff>1080</xdr:rowOff>
    </xdr:to>
    <xdr:graphicFrame>
      <xdr:nvGraphicFramePr>
        <xdr:cNvPr id="0" name="Chart 1"/>
        <xdr:cNvGraphicFramePr/>
      </xdr:nvGraphicFramePr>
      <xdr:xfrm>
        <a:off x="5638680" y="2933640"/>
        <a:ext cx="4139280" cy="256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14</xdr:row>
      <xdr:rowOff>0</xdr:rowOff>
    </xdr:from>
    <xdr:to>
      <xdr:col>16</xdr:col>
      <xdr:colOff>262800</xdr:colOff>
      <xdr:row>21</xdr:row>
      <xdr:rowOff>1080</xdr:rowOff>
    </xdr:to>
    <xdr:graphicFrame>
      <xdr:nvGraphicFramePr>
        <xdr:cNvPr id="1" name="Chart 2"/>
        <xdr:cNvGraphicFramePr/>
      </xdr:nvGraphicFramePr>
      <xdr:xfrm>
        <a:off x="9304200" y="2933640"/>
        <a:ext cx="4139280" cy="256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23</xdr:row>
      <xdr:rowOff>264600</xdr:rowOff>
    </xdr:from>
    <xdr:to>
      <xdr:col>5</xdr:col>
      <xdr:colOff>474120</xdr:colOff>
      <xdr:row>35</xdr:row>
      <xdr:rowOff>119160</xdr:rowOff>
    </xdr:to>
    <xdr:graphicFrame>
      <xdr:nvGraphicFramePr>
        <xdr:cNvPr id="2" name="Chart 3"/>
        <xdr:cNvGraphicFramePr/>
      </xdr:nvGraphicFramePr>
      <xdr:xfrm>
        <a:off x="141120" y="6312960"/>
        <a:ext cx="4139280" cy="2931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0</xdr:colOff>
      <xdr:row>23</xdr:row>
      <xdr:rowOff>264600</xdr:rowOff>
    </xdr:from>
    <xdr:to>
      <xdr:col>11</xdr:col>
      <xdr:colOff>473760</xdr:colOff>
      <xdr:row>35</xdr:row>
      <xdr:rowOff>119160</xdr:rowOff>
    </xdr:to>
    <xdr:graphicFrame>
      <xdr:nvGraphicFramePr>
        <xdr:cNvPr id="3" name="Chart 4"/>
        <xdr:cNvGraphicFramePr/>
      </xdr:nvGraphicFramePr>
      <xdr:xfrm>
        <a:off x="5638680" y="6312960"/>
        <a:ext cx="4139280" cy="2931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0</xdr:colOff>
      <xdr:row>23</xdr:row>
      <xdr:rowOff>264600</xdr:rowOff>
    </xdr:from>
    <xdr:to>
      <xdr:col>15</xdr:col>
      <xdr:colOff>99000</xdr:colOff>
      <xdr:row>35</xdr:row>
      <xdr:rowOff>119160</xdr:rowOff>
    </xdr:to>
    <xdr:graphicFrame>
      <xdr:nvGraphicFramePr>
        <xdr:cNvPr id="4" name="Chart 5"/>
        <xdr:cNvGraphicFramePr/>
      </xdr:nvGraphicFramePr>
      <xdr:xfrm>
        <a:off x="9304200" y="6312960"/>
        <a:ext cx="3059280" cy="2931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37</xdr:row>
      <xdr:rowOff>25560</xdr:rowOff>
    </xdr:from>
    <xdr:to>
      <xdr:col>4</xdr:col>
      <xdr:colOff>130680</xdr:colOff>
      <xdr:row>50</xdr:row>
      <xdr:rowOff>140040</xdr:rowOff>
    </xdr:to>
    <xdr:graphicFrame>
      <xdr:nvGraphicFramePr>
        <xdr:cNvPr id="5" name="Chart 6"/>
        <xdr:cNvGraphicFramePr/>
      </xdr:nvGraphicFramePr>
      <xdr:xfrm>
        <a:off x="141120" y="9531360"/>
        <a:ext cx="2879280" cy="2591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_Actions" displayName="T_Actions" ref="A1:N19" headerRowCount="1" totalsRowCount="0" totalsRowShown="0">
  <autoFilter ref="A1:N19"/>
  <tableColumns count="14">
    <tableColumn id="1" name="ID risque"/>
    <tableColumn id="2" name="Action"/>
    <tableColumn id="3" name="Type d'action"/>
    <tableColumn id="4" name="Responsable"/>
    <tableColumn id="5" name="Priorité"/>
    <tableColumn id="6" name="Date de début"/>
    <tableColumn id="7" name="Échéance"/>
    <tableColumn id="8" name="Statut"/>
    <tableColumn id="9" name="% avancement"/>
    <tableColumn id="10" name="Commentaires"/>
    <tableColumn id="11" name="Date de clôture"/>
    <tableColumn id="12" name="Jours restants"/>
    <tableColumn id="13" name="Retard (j)"/>
    <tableColumn id="14" name="Alerte"/>
  </tableColumns>
</table>
</file>

<file path=xl/tables/table2.xml><?xml version="1.0" encoding="utf-8"?>
<table xmlns="http://schemas.openxmlformats.org/spreadsheetml/2006/main" id="2" name="T_Residuel" displayName="T_Residuel" ref="A1:M11" headerRowCount="1" totalsRowCount="0" totalsRowShown="0">
  <autoFilter ref="A1:M11"/>
  <tableColumns count="13">
    <tableColumn id="1" name="ID risque"/>
    <tableColumn id="2" name="Danger"/>
    <tableColumn id="3" name="Service"/>
    <tableColumn id="4" name="Criticité initiale"/>
    <tableColumn id="5" name="Niveau initial"/>
    <tableColumn id="6" name="Nouvelle Gravité"/>
    <tableColumn id="7" name="Nouvelle Probabilité"/>
    <tableColumn id="8" name="Nouvelle Fréquence"/>
    <tableColumn id="9" name="Nouveau Nb pers."/>
    <tableColumn id="10" name="Criticité résiduelle"/>
    <tableColumn id="11" name="Niveau résiduel"/>
    <tableColumn id="12" name="Gain"/>
    <tableColumn id="13" name="% de réduction"/>
  </tableColumns>
</table>
</file>

<file path=xl/tables/table3.xml><?xml version="1.0" encoding="utf-8"?>
<table xmlns="http://schemas.openxmlformats.org/spreadsheetml/2006/main" id="3" name="T_Risques" displayName="T_Risques" ref="A1:W29" headerRowCount="1" totalsRowCount="0" totalsRowShown="0">
  <autoFilter ref="A1:W29"/>
  <tableColumns count="23">
    <tableColumn id="1" name="ID"/>
    <tableColumn id="2" name="Date"/>
    <tableColumn id="3" name="Site"/>
    <tableColumn id="4" name="Département"/>
    <tableColumn id="5" name="Service"/>
    <tableColumn id="6" name="Processus"/>
    <tableColumn id="7" name="Activité"/>
    <tableColumn id="8" name="Poste"/>
    <tableColumn id="9" name="Famille de danger"/>
    <tableColumn id="10" name="Danger"/>
    <tableColumn id="11" name="Description du danger"/>
    <tableColumn id="12" name="Événement dangereux"/>
    <tableColumn id="13" name="Risque"/>
    <tableColumn id="14" name="Conséquence"/>
    <tableColumn id="15" name="Personnes exposées"/>
    <tableColumn id="16" name="Mesures existantes"/>
    <tableColumn id="17" name="Gravité (1-5)"/>
    <tableColumn id="18" name="Probabilité (1-5)"/>
    <tableColumn id="19" name="Fréquence (1-5)"/>
    <tableColumn id="20" name="Nb pers. (1-5)"/>
    <tableColumn id="21" name="Criticité"/>
    <tableColumn id="22" name="Niveau de risque"/>
    <tableColumn id="23" name="Clé tri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A1:D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4"/>
    <col collapsed="false" customWidth="true" hidden="false" outlineLevel="0" max="3" min="3" style="1" width="70"/>
    <col collapsed="false" customWidth="true" hidden="false" outlineLevel="0" max="4" min="4" style="1" width="3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15" hidden="false" customHeight="true" outlineLevel="0" collapsed="false">
      <c r="A2" s="2"/>
      <c r="B2" s="2"/>
      <c r="C2" s="2"/>
      <c r="D2" s="2"/>
    </row>
    <row r="3" customFormat="false" ht="15" hidden="false" customHeight="true" outlineLevel="0" collapsed="false">
      <c r="A3" s="2"/>
      <c r="B3" s="2"/>
      <c r="C3" s="2"/>
      <c r="D3" s="2"/>
    </row>
    <row r="4" customFormat="false" ht="15" hidden="false" customHeight="true" outlineLevel="0" collapsed="false">
      <c r="A4" s="3" t="s">
        <v>1</v>
      </c>
      <c r="B4" s="3"/>
      <c r="C4" s="3"/>
      <c r="D4" s="3"/>
    </row>
    <row r="6" customFormat="false" ht="15" hidden="false" customHeight="true" outlineLevel="0" collapsed="false">
      <c r="B6" s="4" t="s">
        <v>2</v>
      </c>
      <c r="C6" s="5" t="s">
        <v>3</v>
      </c>
    </row>
    <row r="7" customFormat="false" ht="15" hidden="false" customHeight="true" outlineLevel="0" collapsed="false">
      <c r="B7" s="4"/>
      <c r="C7" s="4"/>
    </row>
    <row r="8" customFormat="false" ht="15" hidden="false" customHeight="true" outlineLevel="0" collapsed="false">
      <c r="B8" s="4" t="s">
        <v>4</v>
      </c>
      <c r="C8" s="5" t="s">
        <v>5</v>
      </c>
    </row>
    <row r="9" customFormat="false" ht="15" hidden="false" customHeight="true" outlineLevel="0" collapsed="false">
      <c r="B9" s="4"/>
      <c r="C9" s="4"/>
    </row>
    <row r="10" customFormat="false" ht="15" hidden="false" customHeight="true" outlineLevel="0" collapsed="false">
      <c r="B10" s="4" t="s">
        <v>6</v>
      </c>
      <c r="C10" s="5" t="s">
        <v>7</v>
      </c>
    </row>
    <row r="11" customFormat="false" ht="15" hidden="false" customHeight="true" outlineLevel="0" collapsed="false">
      <c r="B11" s="4"/>
      <c r="C11" s="4"/>
    </row>
    <row r="12" customFormat="false" ht="15" hidden="false" customHeight="true" outlineLevel="0" collapsed="false">
      <c r="B12" s="4" t="s">
        <v>8</v>
      </c>
      <c r="C12" s="5" t="s">
        <v>9</v>
      </c>
    </row>
    <row r="13" customFormat="false" ht="15" hidden="false" customHeight="true" outlineLevel="0" collapsed="false">
      <c r="B13" s="4"/>
      <c r="C13" s="4"/>
    </row>
    <row r="14" customFormat="false" ht="15" hidden="false" customHeight="true" outlineLevel="0" collapsed="false">
      <c r="B14" s="4" t="s">
        <v>10</v>
      </c>
      <c r="C14" s="5" t="s">
        <v>11</v>
      </c>
    </row>
    <row r="15" customFormat="false" ht="15" hidden="false" customHeight="true" outlineLevel="0" collapsed="false">
      <c r="B15" s="4"/>
      <c r="C15" s="4"/>
    </row>
    <row r="16" customFormat="false" ht="15" hidden="false" customHeight="true" outlineLevel="0" collapsed="false">
      <c r="B16" s="4" t="s">
        <v>12</v>
      </c>
      <c r="C16" s="5" t="s">
        <v>13</v>
      </c>
    </row>
    <row r="17" customFormat="false" ht="15" hidden="false" customHeight="true" outlineLevel="0" collapsed="false">
      <c r="B17" s="4"/>
      <c r="C17" s="4"/>
    </row>
    <row r="18" customFormat="false" ht="15" hidden="false" customHeight="true" outlineLevel="0" collapsed="false">
      <c r="B18" s="4" t="s">
        <v>14</v>
      </c>
      <c r="C18" s="5" t="s">
        <v>15</v>
      </c>
    </row>
    <row r="19" customFormat="false" ht="15" hidden="false" customHeight="true" outlineLevel="0" collapsed="false">
      <c r="B19" s="4"/>
      <c r="C19" s="4"/>
    </row>
    <row r="20" customFormat="false" ht="15" hidden="false" customHeight="true" outlineLevel="0" collapsed="false">
      <c r="B20" s="4" t="s">
        <v>16</v>
      </c>
      <c r="C20" s="5" t="s">
        <v>17</v>
      </c>
    </row>
    <row r="21" customFormat="false" ht="15" hidden="false" customHeight="true" outlineLevel="0" collapsed="false">
      <c r="B21" s="4"/>
      <c r="C21" s="4"/>
    </row>
    <row r="22" customFormat="false" ht="15" hidden="false" customHeight="true" outlineLevel="0" collapsed="false">
      <c r="B22" s="4" t="s">
        <v>18</v>
      </c>
      <c r="C22" s="5" t="s">
        <v>19</v>
      </c>
    </row>
    <row r="23" customFormat="false" ht="15" hidden="false" customHeight="true" outlineLevel="0" collapsed="false">
      <c r="B23" s="4"/>
      <c r="C23" s="4"/>
    </row>
    <row r="25" customFormat="false" ht="15" hidden="false" customHeight="true" outlineLevel="0" collapsed="false">
      <c r="B25" s="6" t="s">
        <v>20</v>
      </c>
      <c r="C25" s="6"/>
    </row>
  </sheetData>
  <mergeCells count="21">
    <mergeCell ref="A1:D3"/>
    <mergeCell ref="A4:D4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5:C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08080"/>
    <pageSetUpPr fitToPage="false"/>
  </sheetPr>
  <dimension ref="A1:U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3" min="2" style="1" width="18"/>
    <col collapsed="false" customWidth="true" hidden="false" outlineLevel="0" max="4" min="4" style="1" width="24"/>
    <col collapsed="false" customWidth="true" hidden="false" outlineLevel="0" max="5" min="5" style="1" width="20"/>
    <col collapsed="false" customWidth="true" hidden="false" outlineLevel="0" max="6" min="6" style="1" width="18"/>
    <col collapsed="false" customWidth="true" hidden="false" outlineLevel="0" max="7" min="7" style="1" width="27"/>
    <col collapsed="false" customWidth="true" hidden="false" outlineLevel="0" max="10" min="8" style="1" width="30"/>
    <col collapsed="false" customWidth="true" hidden="false" outlineLevel="0" max="11" min="11" style="1" width="18"/>
    <col collapsed="false" customWidth="true" hidden="false" outlineLevel="0" max="12" min="12" style="1" width="30"/>
    <col collapsed="false" customWidth="true" hidden="false" outlineLevel="0" max="14" min="13" style="1" width="18"/>
    <col collapsed="false" customWidth="true" hidden="false" outlineLevel="0" max="19" min="16" style="1" width="30"/>
    <col collapsed="false" customWidth="true" hidden="false" outlineLevel="0" max="21" min="21" style="1" width="4"/>
  </cols>
  <sheetData>
    <row r="1" customFormat="false" ht="30" hidden="false" customHeight="true" outlineLevel="0" collapsed="false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customFormat="false" ht="27.75" hidden="false" customHeight="true" outlineLevel="0" collapsed="false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8" t="s">
        <v>30</v>
      </c>
      <c r="J3" s="8" t="s">
        <v>31</v>
      </c>
      <c r="K3" s="8" t="s">
        <v>32</v>
      </c>
      <c r="L3" s="8" t="s">
        <v>33</v>
      </c>
      <c r="M3" s="8" t="s">
        <v>34</v>
      </c>
      <c r="N3" s="8" t="s">
        <v>35</v>
      </c>
    </row>
    <row r="4" customFormat="false" ht="15" hidden="false" customHeight="true" outlineLevel="0" collapsed="false">
      <c r="A4" s="9" t="s">
        <v>36</v>
      </c>
      <c r="B4" s="9" t="s">
        <v>37</v>
      </c>
      <c r="C4" s="9" t="s">
        <v>38</v>
      </c>
      <c r="D4" s="9" t="s">
        <v>39</v>
      </c>
      <c r="E4" s="9" t="s">
        <v>40</v>
      </c>
      <c r="F4" s="9" t="s">
        <v>41</v>
      </c>
      <c r="G4" s="9" t="s">
        <v>42</v>
      </c>
      <c r="H4" s="9" t="s">
        <v>43</v>
      </c>
      <c r="I4" s="9" t="s">
        <v>44</v>
      </c>
      <c r="J4" s="9" t="s">
        <v>45</v>
      </c>
      <c r="K4" s="9" t="s">
        <v>46</v>
      </c>
      <c r="L4" s="9" t="s">
        <v>47</v>
      </c>
      <c r="M4" s="9" t="s">
        <v>48</v>
      </c>
      <c r="N4" s="9" t="s">
        <v>49</v>
      </c>
    </row>
    <row r="5" customFormat="false" ht="15" hidden="false" customHeight="true" outlineLevel="0" collapsed="false">
      <c r="B5" s="10" t="s">
        <v>50</v>
      </c>
      <c r="C5" s="10" t="s">
        <v>51</v>
      </c>
      <c r="D5" s="10" t="s">
        <v>52</v>
      </c>
      <c r="E5" s="10" t="s">
        <v>53</v>
      </c>
      <c r="F5" s="10" t="s">
        <v>54</v>
      </c>
      <c r="G5" s="10" t="s">
        <v>55</v>
      </c>
      <c r="H5" s="10" t="s">
        <v>56</v>
      </c>
      <c r="I5" s="10" t="s">
        <v>57</v>
      </c>
      <c r="J5" s="10" t="s">
        <v>58</v>
      </c>
      <c r="K5" s="10" t="s">
        <v>59</v>
      </c>
      <c r="L5" s="10" t="s">
        <v>60</v>
      </c>
      <c r="M5" s="10" t="s">
        <v>61</v>
      </c>
      <c r="N5" s="10" t="s">
        <v>62</v>
      </c>
    </row>
    <row r="6" customFormat="false" ht="15" hidden="false" customHeight="true" outlineLevel="0" collapsed="false">
      <c r="B6" s="9" t="s">
        <v>63</v>
      </c>
      <c r="C6" s="9" t="s">
        <v>64</v>
      </c>
      <c r="D6" s="9" t="s">
        <v>65</v>
      </c>
      <c r="E6" s="9" t="s">
        <v>66</v>
      </c>
      <c r="F6" s="9" t="s">
        <v>67</v>
      </c>
      <c r="G6" s="9" t="s">
        <v>68</v>
      </c>
      <c r="H6" s="9" t="s">
        <v>69</v>
      </c>
      <c r="I6" s="9" t="s">
        <v>70</v>
      </c>
      <c r="J6" s="9" t="s">
        <v>71</v>
      </c>
      <c r="K6" s="9" t="s">
        <v>72</v>
      </c>
      <c r="L6" s="9" t="s">
        <v>73</v>
      </c>
      <c r="M6" s="9" t="s">
        <v>74</v>
      </c>
      <c r="N6" s="9" t="s">
        <v>75</v>
      </c>
    </row>
    <row r="7" customFormat="false" ht="15" hidden="false" customHeight="true" outlineLevel="0" collapsed="false">
      <c r="C7" s="10" t="s">
        <v>76</v>
      </c>
      <c r="D7" s="10" t="s">
        <v>77</v>
      </c>
      <c r="E7" s="10" t="s">
        <v>78</v>
      </c>
      <c r="F7" s="10" t="s">
        <v>64</v>
      </c>
      <c r="G7" s="10" t="s">
        <v>79</v>
      </c>
      <c r="H7" s="10" t="s">
        <v>80</v>
      </c>
      <c r="I7" s="10" t="s">
        <v>81</v>
      </c>
      <c r="J7" s="10" t="s">
        <v>82</v>
      </c>
      <c r="K7" s="10" t="s">
        <v>83</v>
      </c>
      <c r="L7" s="10" t="s">
        <v>84</v>
      </c>
      <c r="M7" s="10" t="s">
        <v>85</v>
      </c>
      <c r="N7" s="10" t="s">
        <v>86</v>
      </c>
    </row>
    <row r="8" customFormat="false" ht="15" hidden="false" customHeight="true" outlineLevel="0" collapsed="false">
      <c r="C8" s="9" t="s">
        <v>87</v>
      </c>
      <c r="D8" s="9" t="s">
        <v>88</v>
      </c>
      <c r="E8" s="9" t="s">
        <v>89</v>
      </c>
      <c r="F8" s="9" t="s">
        <v>51</v>
      </c>
      <c r="G8" s="9" t="s">
        <v>39</v>
      </c>
      <c r="H8" s="9" t="s">
        <v>90</v>
      </c>
      <c r="I8" s="9" t="s">
        <v>91</v>
      </c>
      <c r="J8" s="9" t="s">
        <v>92</v>
      </c>
      <c r="K8" s="9" t="s">
        <v>93</v>
      </c>
      <c r="L8" s="9" t="s">
        <v>94</v>
      </c>
      <c r="N8" s="9" t="s">
        <v>95</v>
      </c>
    </row>
    <row r="9" customFormat="false" ht="15" hidden="false" customHeight="true" outlineLevel="0" collapsed="false">
      <c r="C9" s="10" t="s">
        <v>96</v>
      </c>
      <c r="D9" s="10" t="s">
        <v>97</v>
      </c>
      <c r="E9" s="10" t="s">
        <v>98</v>
      </c>
      <c r="G9" s="10" t="s">
        <v>99</v>
      </c>
      <c r="H9" s="10" t="s">
        <v>100</v>
      </c>
      <c r="I9" s="10" t="s">
        <v>101</v>
      </c>
      <c r="J9" s="10" t="s">
        <v>102</v>
      </c>
      <c r="K9" s="10" t="s">
        <v>103</v>
      </c>
      <c r="L9" s="10" t="s">
        <v>104</v>
      </c>
    </row>
    <row r="10" customFormat="false" ht="15" hidden="false" customHeight="true" outlineLevel="0" collapsed="false">
      <c r="D10" s="9" t="s">
        <v>105</v>
      </c>
      <c r="G10" s="9" t="s">
        <v>106</v>
      </c>
      <c r="H10" s="9" t="s">
        <v>107</v>
      </c>
      <c r="I10" s="9" t="s">
        <v>108</v>
      </c>
      <c r="J10" s="9" t="s">
        <v>109</v>
      </c>
      <c r="K10" s="9" t="s">
        <v>110</v>
      </c>
      <c r="L10" s="9" t="s">
        <v>92</v>
      </c>
    </row>
    <row r="11" customFormat="false" ht="15" hidden="false" customHeight="true" outlineLevel="0" collapsed="false">
      <c r="D11" s="10" t="s">
        <v>111</v>
      </c>
      <c r="G11" s="10" t="s">
        <v>112</v>
      </c>
      <c r="H11" s="10" t="s">
        <v>113</v>
      </c>
      <c r="I11" s="10" t="s">
        <v>114</v>
      </c>
      <c r="J11" s="10" t="s">
        <v>115</v>
      </c>
      <c r="K11" s="10" t="s">
        <v>116</v>
      </c>
      <c r="L11" s="10" t="s">
        <v>51</v>
      </c>
    </row>
    <row r="12" customFormat="false" ht="15" hidden="false" customHeight="true" outlineLevel="0" collapsed="false">
      <c r="D12" s="9" t="s">
        <v>117</v>
      </c>
      <c r="G12" s="9" t="s">
        <v>118</v>
      </c>
      <c r="H12" s="9" t="s">
        <v>119</v>
      </c>
      <c r="I12" s="9" t="s">
        <v>120</v>
      </c>
      <c r="J12" s="9" t="s">
        <v>121</v>
      </c>
    </row>
    <row r="13" customFormat="false" ht="15" hidden="false" customHeight="true" outlineLevel="0" collapsed="false">
      <c r="D13" s="10" t="s">
        <v>122</v>
      </c>
      <c r="G13" s="10" t="s">
        <v>123</v>
      </c>
      <c r="H13" s="10" t="s">
        <v>124</v>
      </c>
      <c r="I13" s="10" t="s">
        <v>125</v>
      </c>
      <c r="J13" s="10" t="s">
        <v>126</v>
      </c>
    </row>
    <row r="14" customFormat="false" ht="15" hidden="false" customHeight="true" outlineLevel="0" collapsed="false">
      <c r="G14" s="9" t="s">
        <v>127</v>
      </c>
      <c r="H14" s="9" t="s">
        <v>128</v>
      </c>
      <c r="I14" s="9" t="s">
        <v>129</v>
      </c>
    </row>
    <row r="15" customFormat="false" ht="15" hidden="false" customHeight="true" outlineLevel="0" collapsed="false">
      <c r="G15" s="10" t="s">
        <v>130</v>
      </c>
      <c r="H15" s="10" t="s">
        <v>131</v>
      </c>
      <c r="I15" s="10" t="s">
        <v>132</v>
      </c>
    </row>
    <row r="16" customFormat="false" ht="15" hidden="false" customHeight="true" outlineLevel="0" collapsed="false">
      <c r="I16" s="9" t="s">
        <v>133</v>
      </c>
    </row>
    <row r="17" customFormat="false" ht="15" hidden="false" customHeight="true" outlineLevel="0" collapsed="false">
      <c r="I17" s="10" t="s">
        <v>134</v>
      </c>
    </row>
    <row r="18" customFormat="false" ht="15" hidden="false" customHeight="true" outlineLevel="0" collapsed="false">
      <c r="I18" s="9" t="s">
        <v>135</v>
      </c>
    </row>
    <row r="19" customFormat="false" ht="15" hidden="false" customHeight="true" outlineLevel="0" collapsed="false">
      <c r="P19" s="11" t="s">
        <v>136</v>
      </c>
      <c r="Q19" s="11"/>
      <c r="R19" s="11"/>
      <c r="S19" s="11"/>
    </row>
    <row r="20" customFormat="false" ht="30" hidden="false" customHeight="true" outlineLevel="0" collapsed="false">
      <c r="P20" s="12" t="s">
        <v>137</v>
      </c>
      <c r="Q20" s="12" t="s">
        <v>138</v>
      </c>
      <c r="R20" s="12" t="s">
        <v>139</v>
      </c>
      <c r="S20" s="12" t="s">
        <v>140</v>
      </c>
    </row>
    <row r="21" customFormat="false" ht="15" hidden="false" customHeight="true" outlineLevel="0" collapsed="false">
      <c r="P21" s="13" t="s">
        <v>141</v>
      </c>
      <c r="Q21" s="13" t="s">
        <v>142</v>
      </c>
      <c r="R21" s="13" t="s">
        <v>143</v>
      </c>
      <c r="S21" s="13" t="s">
        <v>144</v>
      </c>
      <c r="U21" s="14" t="n">
        <v>1</v>
      </c>
    </row>
    <row r="22" customFormat="false" ht="15" hidden="false" customHeight="true" outlineLevel="0" collapsed="false">
      <c r="P22" s="13" t="s">
        <v>145</v>
      </c>
      <c r="Q22" s="13" t="s">
        <v>146</v>
      </c>
      <c r="R22" s="13" t="s">
        <v>147</v>
      </c>
      <c r="S22" s="13" t="s">
        <v>148</v>
      </c>
      <c r="U22" s="14" t="n">
        <v>2</v>
      </c>
    </row>
    <row r="23" customFormat="false" ht="15" hidden="false" customHeight="true" outlineLevel="0" collapsed="false">
      <c r="P23" s="13" t="s">
        <v>149</v>
      </c>
      <c r="Q23" s="13" t="s">
        <v>150</v>
      </c>
      <c r="R23" s="13" t="s">
        <v>151</v>
      </c>
      <c r="S23" s="13" t="s">
        <v>152</v>
      </c>
      <c r="U23" s="14" t="n">
        <v>3</v>
      </c>
    </row>
    <row r="24" customFormat="false" ht="15" hidden="false" customHeight="true" outlineLevel="0" collapsed="false">
      <c r="P24" s="13" t="s">
        <v>153</v>
      </c>
      <c r="Q24" s="13" t="s">
        <v>154</v>
      </c>
      <c r="R24" s="13" t="s">
        <v>155</v>
      </c>
      <c r="S24" s="13" t="s">
        <v>156</v>
      </c>
      <c r="U24" s="14" t="n">
        <v>4</v>
      </c>
    </row>
    <row r="25" customFormat="false" ht="15" hidden="false" customHeight="true" outlineLevel="0" collapsed="false">
      <c r="P25" s="13" t="s">
        <v>157</v>
      </c>
      <c r="Q25" s="13" t="s">
        <v>158</v>
      </c>
      <c r="R25" s="13" t="s">
        <v>159</v>
      </c>
      <c r="S25" s="13" t="s">
        <v>160</v>
      </c>
      <c r="U25" s="14" t="n">
        <v>5</v>
      </c>
    </row>
    <row r="28" customFormat="false" ht="15" hidden="false" customHeight="true" outlineLevel="0" collapsed="false">
      <c r="P28" s="11" t="s">
        <v>161</v>
      </c>
      <c r="Q28" s="11"/>
      <c r="R28" s="11"/>
      <c r="S28" s="11"/>
    </row>
    <row r="29" customFormat="false" ht="15" hidden="false" customHeight="true" outlineLevel="0" collapsed="false">
      <c r="P29" s="15" t="s">
        <v>162</v>
      </c>
      <c r="Q29" s="16" t="s">
        <v>163</v>
      </c>
      <c r="R29" s="17" t="n">
        <v>36</v>
      </c>
      <c r="S29" s="18" t="s">
        <v>164</v>
      </c>
    </row>
    <row r="30" customFormat="false" ht="15" hidden="false" customHeight="true" outlineLevel="0" collapsed="false">
      <c r="P30" s="19" t="s">
        <v>165</v>
      </c>
      <c r="Q30" s="16" t="s">
        <v>163</v>
      </c>
      <c r="R30" s="17" t="n">
        <v>125</v>
      </c>
      <c r="S30" s="18" t="s">
        <v>166</v>
      </c>
    </row>
    <row r="31" customFormat="false" ht="15" hidden="false" customHeight="true" outlineLevel="0" collapsed="false">
      <c r="P31" s="20" t="s">
        <v>167</v>
      </c>
      <c r="Q31" s="16" t="s">
        <v>163</v>
      </c>
      <c r="R31" s="17" t="n">
        <v>200</v>
      </c>
      <c r="S31" s="18" t="s">
        <v>168</v>
      </c>
    </row>
    <row r="32" customFormat="false" ht="15" hidden="false" customHeight="true" outlineLevel="0" collapsed="false">
      <c r="P32" s="21" t="s">
        <v>169</v>
      </c>
      <c r="Q32" s="16" t="s">
        <v>170</v>
      </c>
      <c r="R32" s="17" t="n">
        <f aca="false">R31</f>
        <v>200</v>
      </c>
      <c r="S32" s="18" t="s">
        <v>171</v>
      </c>
    </row>
  </sheetData>
  <mergeCells count="3">
    <mergeCell ref="A1:N1"/>
    <mergeCell ref="P19:S19"/>
    <mergeCell ref="P28:S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A1:P30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13" min="2" style="1" width="13"/>
    <col collapsed="false" customWidth="true" hidden="false" outlineLevel="0" max="14" min="14" style="1" width="3"/>
    <col collapsed="false" customWidth="true" hidden="false" outlineLevel="0" max="16" min="15" style="1" width="13"/>
  </cols>
  <sheetData>
    <row r="1" customFormat="false" ht="24" hidden="false" customHeight="true" outlineLevel="0" collapsed="false">
      <c r="A1" s="22" t="s">
        <v>172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customFormat="false" ht="24" hidden="false" customHeight="true" outlineLevel="0" collapsed="false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customFormat="false" ht="18" hidden="false" customHeight="true" outlineLevel="0" collapsed="false">
      <c r="A3" s="3" t="str">
        <f aca="true">CONCATENATE("  ",Paramètres!$A$4,"  •  Mise à jour : ",TEXT(TODAY(),"DD/MM/YYYY"))</f>
        <v>  INDUSTRIA GROUP SA  •  Mise à jour : 03/07/2026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customFormat="false" ht="15" hidden="false" customHeight="true" outlineLevel="0" collapsed="false">
      <c r="B5" s="23" t="s">
        <v>173</v>
      </c>
      <c r="C5" s="23"/>
      <c r="D5" s="24" t="s">
        <v>174</v>
      </c>
      <c r="E5" s="24"/>
      <c r="F5" s="25" t="s">
        <v>175</v>
      </c>
      <c r="G5" s="25"/>
      <c r="H5" s="26" t="s">
        <v>176</v>
      </c>
      <c r="I5" s="26"/>
      <c r="J5" s="27" t="s">
        <v>177</v>
      </c>
      <c r="K5" s="27"/>
      <c r="L5" s="28" t="s">
        <v>178</v>
      </c>
      <c r="M5" s="28"/>
      <c r="N5" s="29" t="s">
        <v>179</v>
      </c>
      <c r="O5" s="29"/>
      <c r="P5" s="29"/>
    </row>
    <row r="6" customFormat="false" ht="15" hidden="false" customHeight="true" outlineLevel="0" collapsed="false">
      <c r="B6" s="30" t="n">
        <f aca="false">SUMPRODUCT(('Analyse des risques'!$J$2:$J$29&lt;&gt;"")/COUNTIF('Analyse des risques'!$J$2:$J$29,'Analyse des risques'!$J$2:$J$29&amp;""))</f>
        <v>15</v>
      </c>
      <c r="C6" s="30"/>
      <c r="D6" s="31" t="n">
        <f aca="false">COUNTA('Analyse des risques'!$A$2:$A$29)</f>
        <v>28</v>
      </c>
      <c r="E6" s="31"/>
      <c r="F6" s="32" t="n">
        <f aca="false">COUNTIF('Analyse des risques'!$V$2:$V$29,"Critique")</f>
        <v>4</v>
      </c>
      <c r="G6" s="32"/>
      <c r="H6" s="33" t="n">
        <f aca="false">COUNTIF('Analyse des risques'!$V$2:$V$29,"Élevé")</f>
        <v>6</v>
      </c>
      <c r="I6" s="33"/>
      <c r="J6" s="34" t="n">
        <f aca="false">COUNTIF('Analyse des risques'!$V$2:$V$29,"Moyen")</f>
        <v>15</v>
      </c>
      <c r="K6" s="34"/>
      <c r="L6" s="35" t="n">
        <f aca="false">COUNTIF('Analyse des risques'!$V$2:$V$29,"Faible")</f>
        <v>3</v>
      </c>
      <c r="M6" s="35"/>
      <c r="N6" s="36" t="n">
        <f aca="false">IFERROR(AVERAGE('Analyse des risques'!$U$2:$U$29),0)</f>
        <v>127.892857142857</v>
      </c>
      <c r="O6" s="36"/>
      <c r="P6" s="36"/>
    </row>
    <row r="7" customFormat="false" ht="15" hidden="false" customHeight="true" outlineLevel="0" collapsed="false">
      <c r="B7" s="30"/>
      <c r="C7" s="30"/>
      <c r="D7" s="31"/>
      <c r="E7" s="31"/>
      <c r="F7" s="32"/>
      <c r="G7" s="32"/>
      <c r="H7" s="33"/>
      <c r="I7" s="33"/>
      <c r="J7" s="34"/>
      <c r="K7" s="34"/>
      <c r="L7" s="35"/>
      <c r="M7" s="35"/>
      <c r="N7" s="36"/>
      <c r="O7" s="36"/>
      <c r="P7" s="36"/>
    </row>
    <row r="8" customFormat="false" ht="15" hidden="false" customHeight="true" outlineLevel="0" collapsed="false">
      <c r="B8" s="37" t="s">
        <v>180</v>
      </c>
      <c r="C8" s="37"/>
      <c r="D8" s="37" t="s">
        <v>181</v>
      </c>
      <c r="E8" s="37"/>
      <c r="N8" s="37" t="s">
        <v>182</v>
      </c>
      <c r="O8" s="37"/>
      <c r="P8" s="37"/>
    </row>
    <row r="10" customFormat="false" ht="15" hidden="false" customHeight="true" outlineLevel="0" collapsed="false">
      <c r="B10" s="24" t="s">
        <v>183</v>
      </c>
      <c r="C10" s="24"/>
      <c r="D10" s="28" t="s">
        <v>184</v>
      </c>
      <c r="E10" s="28"/>
      <c r="F10" s="25" t="s">
        <v>185</v>
      </c>
      <c r="G10" s="25"/>
      <c r="H10" s="26" t="s">
        <v>186</v>
      </c>
      <c r="I10" s="26"/>
      <c r="J10" s="26"/>
      <c r="K10" s="38" t="s">
        <v>187</v>
      </c>
      <c r="L10" s="38"/>
      <c r="M10" s="38"/>
      <c r="N10" s="23" t="s">
        <v>188</v>
      </c>
      <c r="O10" s="23"/>
      <c r="P10" s="23"/>
    </row>
    <row r="11" customFormat="false" ht="15" hidden="false" customHeight="true" outlineLevel="0" collapsed="false">
      <c r="B11" s="31" t="n">
        <f aca="false">COUNTIF('Plan d''actions'!$H$2:$H$19,"À faire")+COUNTIF('Plan d''actions'!$H$2:$H$19,"En cours")+COUNTIF('Plan d''actions'!$H$2:$H$19,"En retard")</f>
        <v>12</v>
      </c>
      <c r="C11" s="31"/>
      <c r="D11" s="35" t="n">
        <f aca="false">COUNTIF('Plan d''actions'!$H$2:$H$19,"Clôturée")</f>
        <v>6</v>
      </c>
      <c r="E11" s="35"/>
      <c r="F11" s="32" t="n">
        <f aca="false">COUNTIF('Plan d''actions'!$H$2:$H$19,"En retard")</f>
        <v>2</v>
      </c>
      <c r="G11" s="32"/>
      <c r="H11" s="39" t="n">
        <f aca="false">IFERROR(AVERAGEIF('Plan d''actions'!$H$2:$H$19,"&lt;&gt;Annulée",'Plan d''actions'!$I$2:$I$19),0)</f>
        <v>0.602777777777778</v>
      </c>
      <c r="I11" s="39"/>
      <c r="J11" s="39"/>
      <c r="K11" s="40" t="n">
        <f aca="false">IFERROR(AVERAGE('Analyse après actions'!$M$2:$M$11),0)</f>
        <v>0.568333333333333</v>
      </c>
      <c r="L11" s="40"/>
      <c r="M11" s="40"/>
      <c r="N11" s="30" t="n">
        <f aca="false">COUNTIF('Analyse des risques'!$V$2:$V$29,"Critique")+COUNTIF('Analyse des risques'!$V$2:$V$29,"Élevé")</f>
        <v>10</v>
      </c>
      <c r="O11" s="30"/>
      <c r="P11" s="30"/>
    </row>
    <row r="12" customFormat="false" ht="15" hidden="false" customHeight="true" outlineLevel="0" collapsed="false">
      <c r="B12" s="31"/>
      <c r="C12" s="31"/>
      <c r="D12" s="35"/>
      <c r="E12" s="35"/>
      <c r="F12" s="32"/>
      <c r="G12" s="32"/>
      <c r="H12" s="39"/>
      <c r="I12" s="39"/>
      <c r="J12" s="39"/>
      <c r="K12" s="40"/>
      <c r="L12" s="40"/>
      <c r="M12" s="40"/>
      <c r="N12" s="30"/>
      <c r="O12" s="30"/>
      <c r="P12" s="30"/>
    </row>
    <row r="13" customFormat="false" ht="15" hidden="false" customHeight="true" outlineLevel="0" collapsed="false">
      <c r="H13" s="37" t="s">
        <v>189</v>
      </c>
      <c r="I13" s="37"/>
      <c r="J13" s="37"/>
      <c r="K13" s="37" t="s">
        <v>190</v>
      </c>
      <c r="L13" s="37"/>
      <c r="M13" s="37"/>
      <c r="N13" s="37" t="s">
        <v>191</v>
      </c>
      <c r="O13" s="37"/>
      <c r="P13" s="37"/>
    </row>
    <row r="15" customFormat="false" ht="15" hidden="false" customHeight="true" outlineLevel="0" collapsed="false">
      <c r="B15" s="41" t="s">
        <v>192</v>
      </c>
      <c r="C15" s="41"/>
      <c r="D15" s="41"/>
      <c r="E15" s="41"/>
      <c r="F15" s="41"/>
      <c r="G15" s="41"/>
    </row>
    <row r="16" customFormat="false" ht="15" hidden="false" customHeight="true" outlineLevel="0" collapsed="false">
      <c r="B16" s="42" t="s">
        <v>193</v>
      </c>
      <c r="C16" s="42" t="s">
        <v>194</v>
      </c>
      <c r="D16" s="42" t="s">
        <v>30</v>
      </c>
      <c r="E16" s="42" t="s">
        <v>25</v>
      </c>
      <c r="F16" s="42" t="s">
        <v>195</v>
      </c>
      <c r="G16" s="42" t="s">
        <v>196</v>
      </c>
    </row>
    <row r="17" customFormat="false" ht="32.25" hidden="false" customHeight="true" outlineLevel="0" collapsed="false">
      <c r="B17" s="43" t="n">
        <v>1</v>
      </c>
      <c r="C17" s="43" t="str">
        <f aca="false">IFERROR(INDEX('Analyse des risques'!$A$2:$A$29,MATCH(Calculs!$T$4,'Analyse des risques'!$W$2:$W$29,0)),"—")</f>
        <v>R007</v>
      </c>
      <c r="D17" s="44" t="str">
        <f aca="false">IFERROR(INDEX('Analyse des risques'!$J$2:$J$29,MATCH(Calculs!$T$4,'Analyse des risques'!$W$2:$W$29,0)),"—")</f>
        <v>Circulation de chariots élévateurs</v>
      </c>
      <c r="E17" s="43" t="str">
        <f aca="false">IFERROR(INDEX('Analyse des risques'!$E$2:$E$29,MATCH(Calculs!$T$4,'Analyse des risques'!$W$2:$W$29,0)),"—")</f>
        <v>Magasin</v>
      </c>
      <c r="F17" s="45" t="n">
        <f aca="false">IFERROR(ROUND(INDEX('Analyse des risques'!$U$2:$U$29,MATCH(Calculs!$T$4,'Analyse des risques'!$W$2:$W$29,0)),0),"—")</f>
        <v>400</v>
      </c>
      <c r="G17" s="43" t="str">
        <f aca="false">IFERROR(INDEX('Analyse des risques'!$V$2:$V$29,MATCH(Calculs!$T$4,'Analyse des risques'!$W$2:$W$29,0)),"—")</f>
        <v>Critique</v>
      </c>
    </row>
    <row r="18" customFormat="false" ht="32.25" hidden="false" customHeight="true" outlineLevel="0" collapsed="false">
      <c r="B18" s="46" t="n">
        <v>2</v>
      </c>
      <c r="C18" s="46" t="str">
        <f aca="false">IFERROR(INDEX('Analyse des risques'!$A$2:$A$29,MATCH(Calculs!$T$5,'Analyse des risques'!$W$2:$W$29,0)),"—")</f>
        <v>R025</v>
      </c>
      <c r="D18" s="47" t="str">
        <f aca="false">IFERROR(INDEX('Analyse des risques'!$J$2:$J$29,MATCH(Calculs!$T$5,'Analyse des risques'!$W$2:$W$29,0)),"—")</f>
        <v>Manutention de charges lourdes</v>
      </c>
      <c r="E18" s="46" t="str">
        <f aca="false">IFERROR(INDEX('Analyse des risques'!$E$2:$E$29,MATCH(Calculs!$T$5,'Analyse des risques'!$W$2:$W$29,0)),"—")</f>
        <v>Assemblage</v>
      </c>
      <c r="F18" s="48" t="n">
        <f aca="false">IFERROR(ROUND(INDEX('Analyse des risques'!$U$2:$U$29,MATCH(Calculs!$T$5,'Analyse des risques'!$W$2:$W$29,0)),0),"—")</f>
        <v>240</v>
      </c>
      <c r="G18" s="46" t="str">
        <f aca="false">IFERROR(INDEX('Analyse des risques'!$V$2:$V$29,MATCH(Calculs!$T$5,'Analyse des risques'!$W$2:$W$29,0)),"—")</f>
        <v>Critique</v>
      </c>
    </row>
    <row r="19" customFormat="false" ht="32.25" hidden="false" customHeight="true" outlineLevel="0" collapsed="false">
      <c r="B19" s="43" t="n">
        <v>3</v>
      </c>
      <c r="C19" s="43" t="str">
        <f aca="false">IFERROR(INDEX('Analyse des risques'!$A$2:$A$29,MATCH(Calculs!$T$6,'Analyse des risques'!$W$2:$W$29,0)),"—")</f>
        <v>R012</v>
      </c>
      <c r="D19" s="44" t="str">
        <f aca="false">IFERROR(INDEX('Analyse des risques'!$J$2:$J$29,MATCH(Calculs!$T$6,'Analyse des risques'!$W$2:$W$29,0)),"—")</f>
        <v>Manutention de charges lourdes</v>
      </c>
      <c r="E19" s="43" t="str">
        <f aca="false">IFERROR(INDEX('Analyse des risques'!$E$2:$E$29,MATCH(Calculs!$T$6,'Analyse des risques'!$W$2:$W$29,0)),"—")</f>
        <v>Assemblage</v>
      </c>
      <c r="F19" s="45" t="n">
        <f aca="false">IFERROR(ROUND(INDEX('Analyse des risques'!$U$2:$U$29,MATCH(Calculs!$T$6,'Analyse des risques'!$W$2:$W$29,0)),0),"—")</f>
        <v>240</v>
      </c>
      <c r="G19" s="43" t="str">
        <f aca="false">IFERROR(INDEX('Analyse des risques'!$V$2:$V$29,MATCH(Calculs!$T$6,'Analyse des risques'!$W$2:$W$29,0)),"—")</f>
        <v>Critique</v>
      </c>
    </row>
    <row r="20" customFormat="false" ht="32.25" hidden="false" customHeight="true" outlineLevel="0" collapsed="false">
      <c r="B20" s="46" t="n">
        <v>4</v>
      </c>
      <c r="C20" s="46" t="str">
        <f aca="false">IFERROR(INDEX('Analyse des risques'!$A$2:$A$29,MATCH(Calculs!$T$7,'Analyse des risques'!$W$2:$W$29,0)),"—")</f>
        <v>R003</v>
      </c>
      <c r="D20" s="47" t="str">
        <f aca="false">IFERROR(INDEX('Analyse des risques'!$J$2:$J$29,MATCH(Calculs!$T$7,'Analyse des risques'!$W$2:$W$29,0)),"—")</f>
        <v>Atmosphère explosive (ATEX)</v>
      </c>
      <c r="E20" s="46" t="str">
        <f aca="false">IFERROR(INDEX('Analyse des risques'!$E$2:$E$29,MATCH(Calculs!$T$7,'Analyse des risques'!$W$2:$W$29,0)),"—")</f>
        <v>Soudure</v>
      </c>
      <c r="F20" s="48" t="n">
        <f aca="false">IFERROR(ROUND(INDEX('Analyse des risques'!$U$2:$U$29,MATCH(Calculs!$T$7,'Analyse des risques'!$W$2:$W$29,0)),0),"—")</f>
        <v>240</v>
      </c>
      <c r="G20" s="46" t="str">
        <f aca="false">IFERROR(INDEX('Analyse des risques'!$V$2:$V$29,MATCH(Calculs!$T$7,'Analyse des risques'!$W$2:$W$29,0)),"—")</f>
        <v>Critique</v>
      </c>
    </row>
    <row r="21" customFormat="false" ht="42.75" hidden="false" customHeight="true" outlineLevel="0" collapsed="false">
      <c r="B21" s="43" t="n">
        <v>5</v>
      </c>
      <c r="C21" s="43" t="str">
        <f aca="false">IFERROR(INDEX('Analyse des risques'!$A$2:$A$29,MATCH(Calculs!$T$8,'Analyse des risques'!$W$2:$W$29,0)),"—")</f>
        <v>R021</v>
      </c>
      <c r="D21" s="44" t="str">
        <f aca="false">IFERROR(INDEX('Analyse des risques'!$J$2:$J$29,MATCH(Calculs!$T$8,'Analyse des risques'!$W$2:$W$29,0)),"—")</f>
        <v>Énergie électrique (armoires, câbles)</v>
      </c>
      <c r="E21" s="43" t="str">
        <f aca="false">IFERROR(INDEX('Analyse des risques'!$E$2:$E$29,MATCH(Calculs!$T$8,'Analyse des risques'!$W$2:$W$29,0)),"—")</f>
        <v>Maintenance électrique</v>
      </c>
      <c r="F21" s="45" t="n">
        <f aca="false">IFERROR(ROUND(INDEX('Analyse des risques'!$U$2:$U$29,MATCH(Calculs!$T$8,'Analyse des risques'!$W$2:$W$29,0)),0),"—")</f>
        <v>192</v>
      </c>
      <c r="G21" s="43" t="str">
        <f aca="false">IFERROR(INDEX('Analyse des risques'!$V$2:$V$29,MATCH(Calculs!$T$8,'Analyse des risques'!$W$2:$W$29,0)),"—")</f>
        <v>Élevé</v>
      </c>
    </row>
    <row r="22" customFormat="false" ht="21.75" hidden="false" customHeight="true" outlineLevel="0" collapsed="false">
      <c r="B22" s="46" t="n">
        <v>6</v>
      </c>
      <c r="C22" s="46" t="str">
        <f aca="false">IFERROR(INDEX('Analyse des risques'!$A$2:$A$29,MATCH(Calculs!$T$9,'Analyse des risques'!$W$2:$W$29,0)),"—")</f>
        <v>R020</v>
      </c>
      <c r="D22" s="47" t="str">
        <f aca="false">IFERROR(INDEX('Analyse des risques'!$J$2:$J$29,MATCH(Calculs!$T$9,'Analyse des risques'!$W$2:$W$29,0)),"—")</f>
        <v>Poussières inhalables</v>
      </c>
      <c r="E22" s="46" t="str">
        <f aca="false">IFERROR(INDEX('Analyse des risques'!$E$2:$E$29,MATCH(Calculs!$T$9,'Analyse des risques'!$W$2:$W$29,0)),"—")</f>
        <v>Usinage</v>
      </c>
      <c r="F22" s="48" t="n">
        <f aca="false">IFERROR(ROUND(INDEX('Analyse des risques'!$U$2:$U$29,MATCH(Calculs!$T$9,'Analyse des risques'!$W$2:$W$29,0)),0),"—")</f>
        <v>180</v>
      </c>
      <c r="G22" s="46" t="str">
        <f aca="false">IFERROR(INDEX('Analyse des risques'!$V$2:$V$29,MATCH(Calculs!$T$9,'Analyse des risques'!$W$2:$W$29,0)),"—")</f>
        <v>Élevé</v>
      </c>
    </row>
    <row r="23" customFormat="false" ht="21.75" hidden="false" customHeight="true" outlineLevel="0" collapsed="false">
      <c r="B23" s="43" t="n">
        <v>7</v>
      </c>
      <c r="C23" s="43" t="str">
        <f aca="false">IFERROR(INDEX('Analyse des risques'!$A$2:$A$29,MATCH(Calculs!$T$10,'Analyse des risques'!$W$2:$W$29,0)),"—")</f>
        <v>R002</v>
      </c>
      <c r="D23" s="44" t="str">
        <f aca="false">IFERROR(INDEX('Analyse des risques'!$J$2:$J$29,MATCH(Calculs!$T$10,'Analyse des risques'!$W$2:$W$29,0)),"—")</f>
        <v>Bruit &gt; 85 dB(A)</v>
      </c>
      <c r="E23" s="43" t="str">
        <f aca="false">IFERROR(INDEX('Analyse des risques'!$E$2:$E$29,MATCH(Calculs!$T$10,'Analyse des risques'!$W$2:$W$29,0)),"—")</f>
        <v>Usinage</v>
      </c>
      <c r="F23" s="45" t="n">
        <f aca="false">IFERROR(ROUND(INDEX('Analyse des risques'!$U$2:$U$29,MATCH(Calculs!$T$10,'Analyse des risques'!$W$2:$W$29,0)),0),"—")</f>
        <v>180</v>
      </c>
      <c r="G23" s="43" t="str">
        <f aca="false">IFERROR(INDEX('Analyse des risques'!$V$2:$V$29,MATCH(Calculs!$T$10,'Analyse des risques'!$W$2:$W$29,0)),"—")</f>
        <v>Élevé</v>
      </c>
    </row>
    <row r="24" customFormat="false" ht="32.25" hidden="false" customHeight="true" outlineLevel="0" collapsed="false">
      <c r="B24" s="46" t="n">
        <v>8</v>
      </c>
      <c r="C24" s="46" t="str">
        <f aca="false">IFERROR(INDEX('Analyse des risques'!$A$2:$A$29,MATCH(Calculs!$T$11,'Analyse des risques'!$W$2:$W$29,0)),"—")</f>
        <v>R010</v>
      </c>
      <c r="D24" s="47" t="str">
        <f aca="false">IFERROR(INDEX('Analyse des risques'!$J$2:$J$29,MATCH(Calculs!$T$11,'Analyse des risques'!$W$2:$W$29,0)),"—")</f>
        <v>Produits chimiques - solvants</v>
      </c>
      <c r="E24" s="46" t="str">
        <f aca="false">IFERROR(INDEX('Analyse des risques'!$E$2:$E$29,MATCH(Calculs!$T$11,'Analyse des risques'!$W$2:$W$29,0)),"—")</f>
        <v>Peinture</v>
      </c>
      <c r="F24" s="48" t="n">
        <f aca="false">IFERROR(ROUND(INDEX('Analyse des risques'!$U$2:$U$29,MATCH(Calculs!$T$11,'Analyse des risques'!$W$2:$W$29,0)),0),"—")</f>
        <v>160</v>
      </c>
      <c r="G24" s="46" t="str">
        <f aca="false">IFERROR(INDEX('Analyse des risques'!$V$2:$V$29,MATCH(Calculs!$T$11,'Analyse des risques'!$W$2:$W$29,0)),"—")</f>
        <v>Élevé</v>
      </c>
    </row>
    <row r="25" customFormat="false" ht="32.25" hidden="false" customHeight="true" outlineLevel="0" collapsed="false">
      <c r="B25" s="43" t="n">
        <v>9</v>
      </c>
      <c r="C25" s="43" t="str">
        <f aca="false">IFERROR(INDEX('Analyse des risques'!$A$2:$A$29,MATCH(Calculs!$T$12,'Analyse des risques'!$W$2:$W$29,0)),"—")</f>
        <v>R023</v>
      </c>
      <c r="D25" s="44" t="str">
        <f aca="false">IFERROR(INDEX('Analyse des risques'!$J$2:$J$29,MATCH(Calculs!$T$12,'Analyse des risques'!$W$2:$W$29,0)),"—")</f>
        <v>Charge mentale / stress</v>
      </c>
      <c r="E25" s="43" t="str">
        <f aca="false">IFERROR(INDEX('Analyse des risques'!$E$2:$E$29,MATCH(Calculs!$T$12,'Analyse des risques'!$W$2:$W$29,0)),"—")</f>
        <v>Ressources Humaines</v>
      </c>
      <c r="F25" s="45" t="n">
        <f aca="false">IFERROR(ROUND(INDEX('Analyse des risques'!$U$2:$U$29,MATCH(Calculs!$T$12,'Analyse des risques'!$W$2:$W$29,0)),0),"—")</f>
        <v>144</v>
      </c>
      <c r="G25" s="43" t="str">
        <f aca="false">IFERROR(INDEX('Analyse des risques'!$V$2:$V$29,MATCH(Calculs!$T$12,'Analyse des risques'!$W$2:$W$29,0)),"—")</f>
        <v>Élevé</v>
      </c>
    </row>
    <row r="26" customFormat="false" ht="42.75" hidden="false" customHeight="true" outlineLevel="0" collapsed="false">
      <c r="B26" s="46" t="n">
        <v>10</v>
      </c>
      <c r="C26" s="46" t="str">
        <f aca="false">IFERROR(INDEX('Analyse des risques'!$A$2:$A$29,MATCH(Calculs!$T$13,'Analyse des risques'!$W$2:$W$29,0)),"—")</f>
        <v>R013</v>
      </c>
      <c r="D26" s="47" t="str">
        <f aca="false">IFERROR(INDEX('Analyse des risques'!$J$2:$J$29,MATCH(Calculs!$T$13,'Analyse des risques'!$W$2:$W$29,0)),"—")</f>
        <v>Pièces mécaniques en mouvement</v>
      </c>
      <c r="E26" s="46" t="str">
        <f aca="false">IFERROR(INDEX('Analyse des risques'!$E$2:$E$29,MATCH(Calculs!$T$13,'Analyse des risques'!$W$2:$W$29,0)),"—")</f>
        <v>Assemblage</v>
      </c>
      <c r="F26" s="48" t="n">
        <f aca="false">IFERROR(ROUND(INDEX('Analyse des risques'!$U$2:$U$29,MATCH(Calculs!$T$13,'Analyse des risques'!$W$2:$W$29,0)),0),"—")</f>
        <v>144</v>
      </c>
      <c r="G26" s="46" t="str">
        <f aca="false">IFERROR(INDEX('Analyse des risques'!$V$2:$V$29,MATCH(Calculs!$T$13,'Analyse des risques'!$W$2:$W$29,0)),"—")</f>
        <v>Élevé</v>
      </c>
    </row>
    <row r="28" customFormat="false" ht="15" hidden="false" customHeight="true" outlineLevel="0" collapsed="false">
      <c r="B28" s="49" t="s">
        <v>197</v>
      </c>
      <c r="C28" s="49"/>
      <c r="D28" s="49"/>
      <c r="E28" s="49"/>
      <c r="F28" s="49"/>
      <c r="G28" s="49"/>
    </row>
    <row r="29" customFormat="false" ht="15" hidden="false" customHeight="true" outlineLevel="0" collapsed="false">
      <c r="B29" s="49"/>
      <c r="C29" s="49"/>
      <c r="D29" s="49"/>
      <c r="E29" s="49"/>
      <c r="F29" s="49"/>
      <c r="G29" s="49"/>
    </row>
    <row r="30" customFormat="false" ht="15" hidden="false" customHeight="true" outlineLevel="0" collapsed="false">
      <c r="B30" s="49"/>
      <c r="C30" s="49"/>
      <c r="D30" s="49"/>
      <c r="E30" s="49"/>
      <c r="F30" s="49"/>
      <c r="G30" s="49"/>
    </row>
  </sheetData>
  <mergeCells count="36">
    <mergeCell ref="A1:P2"/>
    <mergeCell ref="A3:P3"/>
    <mergeCell ref="B5:C5"/>
    <mergeCell ref="D5:E5"/>
    <mergeCell ref="F5:G5"/>
    <mergeCell ref="H5:I5"/>
    <mergeCell ref="J5:K5"/>
    <mergeCell ref="L5:M5"/>
    <mergeCell ref="N5:P5"/>
    <mergeCell ref="B6:C7"/>
    <mergeCell ref="D6:E7"/>
    <mergeCell ref="F6:G7"/>
    <mergeCell ref="H6:I7"/>
    <mergeCell ref="J6:K7"/>
    <mergeCell ref="L6:M7"/>
    <mergeCell ref="N6:P7"/>
    <mergeCell ref="B8:C8"/>
    <mergeCell ref="D8:E8"/>
    <mergeCell ref="N8:P8"/>
    <mergeCell ref="B10:C10"/>
    <mergeCell ref="D10:E10"/>
    <mergeCell ref="F10:G10"/>
    <mergeCell ref="H10:J10"/>
    <mergeCell ref="K10:M10"/>
    <mergeCell ref="N10:P10"/>
    <mergeCell ref="B11:C12"/>
    <mergeCell ref="D11:E12"/>
    <mergeCell ref="F11:G12"/>
    <mergeCell ref="H11:J12"/>
    <mergeCell ref="K11:M12"/>
    <mergeCell ref="N11:P12"/>
    <mergeCell ref="H13:J13"/>
    <mergeCell ref="K13:M13"/>
    <mergeCell ref="N13:P13"/>
    <mergeCell ref="B15:G15"/>
    <mergeCell ref="B28:G30"/>
  </mergeCells>
  <conditionalFormatting sqref="G17:G26">
    <cfRule type="cellIs" priority="2" operator="equal" aboveAverage="0" equalAverage="0" bottom="0" percent="0" rank="0" text="" dxfId="0">
      <formula>"Critique"</formula>
    </cfRule>
    <cfRule type="cellIs" priority="3" operator="equal" aboveAverage="0" equalAverage="0" bottom="0" percent="0" rank="0" text="" dxfId="1">
      <formula>"Élevé"</formula>
    </cfRule>
    <cfRule type="cellIs" priority="4" operator="equal" aboveAverage="0" equalAverage="0" bottom="0" percent="0" rank="0" text="" dxfId="2">
      <formula>"Moyen"</formula>
    </cfRule>
    <cfRule type="cellIs" priority="5" operator="equal" aboveAverage="0" equalAverage="0" bottom="0" percent="0" rank="0" text="" dxfId="3">
      <formula>"Faible"</formula>
    </cfRule>
  </conditionalFormatting>
  <conditionalFormatting sqref="F17:F26">
    <cfRule type="dataBar" priority="6">
      <dataBar showValue="1" minLength="10" maxLength="90">
        <cfvo type="num" val="0"/>
        <cfvo type="num" val="625"/>
        <color rgb="FFC00000"/>
      </dataBar>
      <extLst>
        <ext xmlns:x14="http://schemas.microsoft.com/office/spreadsheetml/2009/9/main" uri="{B025F937-C7B1-47D3-B67F-A62EFF666E3E}">
          <x14:id>{DB9C4969-9142-482D-B6CB-483B73B9A8F2}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9C4969-9142-482D-B6CB-483B73B9A8F2}">
            <x14:dataBar minLength="10" maxLength="90" axisPosition="none" gradient="true">
              <x14:cfvo type="num">
                <xm:f>0</xm:f>
              </x14:cfvo>
              <x14:cfvo type="num">
                <xm:f>625</xm:f>
              </x14:cfvo>
              <x14:negativeFillColor rgb="FFC00000"/>
              <x14:axisColor rgb="FF000000"/>
            </x14:dataBar>
          </x14:cfRule>
          <xm:sqref>F17:F26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false"/>
  </sheetPr>
  <dimension ref="A1:W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1"/>
    <col collapsed="false" customWidth="true" hidden="false" outlineLevel="0" max="3" min="3" style="1" width="15"/>
    <col collapsed="false" customWidth="true" hidden="false" outlineLevel="0" max="4" min="4" style="1" width="14"/>
    <col collapsed="false" customWidth="true" hidden="false" outlineLevel="0" max="5" min="5" style="1" width="16"/>
    <col collapsed="false" customWidth="true" hidden="false" outlineLevel="0" max="6" min="6" style="1" width="12"/>
    <col collapsed="false" customWidth="true" hidden="false" outlineLevel="0" max="7" min="7" style="1" width="17"/>
    <col collapsed="false" customWidth="true" hidden="false" outlineLevel="0" max="8" min="8" style="1" width="13"/>
    <col collapsed="false" customWidth="true" hidden="false" outlineLevel="0" max="9" min="9" style="1" width="17"/>
    <col collapsed="false" customWidth="true" hidden="false" outlineLevel="0" max="10" min="10" style="1" width="24"/>
    <col collapsed="false" customWidth="true" hidden="false" outlineLevel="0" max="11" min="11" style="1" width="32"/>
    <col collapsed="false" customWidth="true" hidden="false" outlineLevel="0" max="12" min="12" style="1" width="26"/>
    <col collapsed="false" customWidth="true" hidden="false" outlineLevel="0" max="13" min="13" style="1" width="20"/>
    <col collapsed="false" customWidth="true" hidden="false" outlineLevel="0" max="14" min="14" style="1" width="22"/>
    <col collapsed="false" customWidth="true" hidden="false" outlineLevel="0" max="15" min="15" style="1" width="16"/>
    <col collapsed="false" customWidth="true" hidden="false" outlineLevel="0" max="16" min="16" style="1" width="24"/>
    <col collapsed="false" customWidth="true" hidden="false" outlineLevel="0" max="20" min="17" style="1" width="9"/>
    <col collapsed="false" customWidth="true" hidden="false" outlineLevel="0" max="21" min="21" style="1" width="10"/>
    <col collapsed="false" customWidth="true" hidden="false" outlineLevel="0" max="22" min="22" style="1" width="12"/>
    <col collapsed="false" customWidth="true" hidden="true" outlineLevel="0" max="23" min="23" style="1" width="5"/>
  </cols>
  <sheetData>
    <row r="1" customFormat="false" ht="33.75" hidden="false" customHeight="true" outlineLevel="0" collapsed="false">
      <c r="A1" s="50" t="s">
        <v>194</v>
      </c>
      <c r="B1" s="50" t="s">
        <v>198</v>
      </c>
      <c r="C1" s="50" t="s">
        <v>23</v>
      </c>
      <c r="D1" s="50" t="s">
        <v>24</v>
      </c>
      <c r="E1" s="50" t="s">
        <v>25</v>
      </c>
      <c r="F1" s="50" t="s">
        <v>27</v>
      </c>
      <c r="G1" s="50" t="s">
        <v>28</v>
      </c>
      <c r="H1" s="50" t="s">
        <v>199</v>
      </c>
      <c r="I1" s="50" t="s">
        <v>29</v>
      </c>
      <c r="J1" s="50" t="s">
        <v>30</v>
      </c>
      <c r="K1" s="50" t="s">
        <v>200</v>
      </c>
      <c r="L1" s="50" t="s">
        <v>201</v>
      </c>
      <c r="M1" s="50" t="s">
        <v>202</v>
      </c>
      <c r="N1" s="50" t="s">
        <v>203</v>
      </c>
      <c r="O1" s="50" t="s">
        <v>204</v>
      </c>
      <c r="P1" s="50" t="s">
        <v>31</v>
      </c>
      <c r="Q1" s="50" t="s">
        <v>205</v>
      </c>
      <c r="R1" s="50" t="s">
        <v>206</v>
      </c>
      <c r="S1" s="50" t="s">
        <v>207</v>
      </c>
      <c r="T1" s="50" t="s">
        <v>208</v>
      </c>
      <c r="U1" s="50" t="s">
        <v>195</v>
      </c>
      <c r="V1" s="50" t="s">
        <v>209</v>
      </c>
      <c r="W1" s="50" t="s">
        <v>210</v>
      </c>
    </row>
    <row r="2" customFormat="false" ht="21.75" hidden="false" customHeight="true" outlineLevel="0" collapsed="false">
      <c r="A2" s="16" t="s">
        <v>211</v>
      </c>
      <c r="B2" s="51" t="n">
        <v>46034</v>
      </c>
      <c r="C2" s="13" t="s">
        <v>37</v>
      </c>
      <c r="D2" s="13" t="s">
        <v>38</v>
      </c>
      <c r="E2" s="13" t="s">
        <v>39</v>
      </c>
      <c r="F2" s="13" t="s">
        <v>41</v>
      </c>
      <c r="G2" s="13" t="s">
        <v>39</v>
      </c>
      <c r="H2" s="13" t="s">
        <v>212</v>
      </c>
      <c r="I2" s="13" t="s">
        <v>43</v>
      </c>
      <c r="J2" s="13" t="s">
        <v>44</v>
      </c>
      <c r="K2" s="13" t="s">
        <v>213</v>
      </c>
      <c r="L2" s="13" t="s">
        <v>214</v>
      </c>
      <c r="M2" s="13" t="s">
        <v>215</v>
      </c>
      <c r="N2" s="13" t="s">
        <v>216</v>
      </c>
      <c r="O2" s="13" t="s">
        <v>217</v>
      </c>
      <c r="P2" s="13" t="s">
        <v>82</v>
      </c>
      <c r="Q2" s="16" t="n">
        <v>4</v>
      </c>
      <c r="R2" s="16" t="n">
        <v>3</v>
      </c>
      <c r="S2" s="16" t="n">
        <v>4</v>
      </c>
      <c r="T2" s="16" t="n">
        <v>2</v>
      </c>
      <c r="U2" s="52" t="n">
        <f aca="false">IF(COUNT(Q2:T2)&lt;4,"",Q2*R2*S2*T2)</f>
        <v>96</v>
      </c>
      <c r="V2" s="16" t="str">
        <f aca="false">IF(U2="","",IF(U2&lt;=Seuil_Faible,"Faible",IF(U2&lt;=Seuil_Moyen,"Moyen",IF(U2&lt;=Seuil_Eleve,"Élevé","Critique"))))</f>
        <v>Moyen</v>
      </c>
      <c r="W2" s="13" t="n">
        <f aca="false">IF(U2="",0,U2+ROW()/100000)</f>
        <v>96.00002</v>
      </c>
    </row>
    <row r="3" customFormat="false" ht="21.75" hidden="false" customHeight="true" outlineLevel="0" collapsed="false">
      <c r="A3" s="16" t="s">
        <v>218</v>
      </c>
      <c r="B3" s="51" t="n">
        <v>46034</v>
      </c>
      <c r="C3" s="13" t="s">
        <v>37</v>
      </c>
      <c r="D3" s="13" t="s">
        <v>38</v>
      </c>
      <c r="E3" s="13" t="s">
        <v>39</v>
      </c>
      <c r="F3" s="13" t="s">
        <v>41</v>
      </c>
      <c r="G3" s="13" t="s">
        <v>39</v>
      </c>
      <c r="H3" s="13" t="s">
        <v>212</v>
      </c>
      <c r="I3" s="13" t="s">
        <v>80</v>
      </c>
      <c r="J3" s="13" t="s">
        <v>81</v>
      </c>
      <c r="K3" s="13" t="s">
        <v>219</v>
      </c>
      <c r="L3" s="13" t="s">
        <v>220</v>
      </c>
      <c r="M3" s="13" t="s">
        <v>221</v>
      </c>
      <c r="N3" s="13" t="s">
        <v>222</v>
      </c>
      <c r="O3" s="13" t="s">
        <v>217</v>
      </c>
      <c r="P3" s="13" t="s">
        <v>45</v>
      </c>
      <c r="Q3" s="16" t="n">
        <v>3</v>
      </c>
      <c r="R3" s="16" t="n">
        <v>4</v>
      </c>
      <c r="S3" s="16" t="n">
        <v>5</v>
      </c>
      <c r="T3" s="16" t="n">
        <v>3</v>
      </c>
      <c r="U3" s="52" t="n">
        <f aca="false">IF(COUNT(Q3:T3)&lt;4,"",Q3*R3*S3*T3)</f>
        <v>180</v>
      </c>
      <c r="V3" s="16" t="str">
        <f aca="false">IF(U3="","",IF(U3&lt;=Seuil_Faible,"Faible",IF(U3&lt;=Seuil_Moyen,"Moyen",IF(U3&lt;=Seuil_Eleve,"Élevé","Critique"))))</f>
        <v>Élevé</v>
      </c>
      <c r="W3" s="13" t="n">
        <f aca="false">IF(U3="",0,U3+ROW()/100000)</f>
        <v>180.00003</v>
      </c>
    </row>
    <row r="4" customFormat="false" ht="21.75" hidden="false" customHeight="true" outlineLevel="0" collapsed="false">
      <c r="A4" s="16" t="s">
        <v>223</v>
      </c>
      <c r="B4" s="51" t="n">
        <v>46037</v>
      </c>
      <c r="C4" s="13" t="s">
        <v>37</v>
      </c>
      <c r="D4" s="13" t="s">
        <v>38</v>
      </c>
      <c r="E4" s="13" t="s">
        <v>65</v>
      </c>
      <c r="F4" s="13" t="s">
        <v>41</v>
      </c>
      <c r="G4" s="13" t="s">
        <v>79</v>
      </c>
      <c r="H4" s="13" t="s">
        <v>224</v>
      </c>
      <c r="I4" s="13" t="s">
        <v>107</v>
      </c>
      <c r="J4" s="13" t="s">
        <v>108</v>
      </c>
      <c r="K4" s="13" t="s">
        <v>225</v>
      </c>
      <c r="L4" s="13" t="s">
        <v>226</v>
      </c>
      <c r="M4" s="13" t="s">
        <v>227</v>
      </c>
      <c r="N4" s="13" t="s">
        <v>228</v>
      </c>
      <c r="O4" s="13" t="s">
        <v>229</v>
      </c>
      <c r="P4" s="13" t="s">
        <v>109</v>
      </c>
      <c r="Q4" s="16" t="n">
        <v>5</v>
      </c>
      <c r="R4" s="16" t="n">
        <v>3</v>
      </c>
      <c r="S4" s="16" t="n">
        <v>4</v>
      </c>
      <c r="T4" s="16" t="n">
        <v>4</v>
      </c>
      <c r="U4" s="52" t="n">
        <f aca="false">IF(COUNT(Q4:T4)&lt;4,"",Q4*R4*S4*T4)</f>
        <v>240</v>
      </c>
      <c r="V4" s="16" t="str">
        <f aca="false">IF(U4="","",IF(U4&lt;=Seuil_Faible,"Faible",IF(U4&lt;=Seuil_Moyen,"Moyen",IF(U4&lt;=Seuil_Eleve,"Élevé","Critique"))))</f>
        <v>Critique</v>
      </c>
      <c r="W4" s="13" t="n">
        <f aca="false">IF(U4="",0,U4+ROW()/100000)</f>
        <v>240.00004</v>
      </c>
    </row>
    <row r="5" customFormat="false" ht="21.75" hidden="false" customHeight="true" outlineLevel="0" collapsed="false">
      <c r="A5" s="16" t="s">
        <v>230</v>
      </c>
      <c r="B5" s="51" t="n">
        <v>46037</v>
      </c>
      <c r="C5" s="13" t="s">
        <v>37</v>
      </c>
      <c r="D5" s="13" t="s">
        <v>38</v>
      </c>
      <c r="E5" s="13" t="s">
        <v>65</v>
      </c>
      <c r="F5" s="13" t="s">
        <v>41</v>
      </c>
      <c r="G5" s="13" t="s">
        <v>79</v>
      </c>
      <c r="H5" s="13" t="s">
        <v>224</v>
      </c>
      <c r="I5" s="13" t="s">
        <v>131</v>
      </c>
      <c r="J5" s="13" t="s">
        <v>125</v>
      </c>
      <c r="K5" s="13" t="s">
        <v>231</v>
      </c>
      <c r="L5" s="13" t="s">
        <v>232</v>
      </c>
      <c r="M5" s="13" t="s">
        <v>233</v>
      </c>
      <c r="N5" s="13" t="s">
        <v>234</v>
      </c>
      <c r="O5" s="13" t="s">
        <v>235</v>
      </c>
      <c r="P5" s="13" t="s">
        <v>45</v>
      </c>
      <c r="Q5" s="16" t="n">
        <v>3</v>
      </c>
      <c r="R5" s="16" t="n">
        <v>4</v>
      </c>
      <c r="S5" s="16" t="n">
        <v>5</v>
      </c>
      <c r="T5" s="16" t="n">
        <v>2</v>
      </c>
      <c r="U5" s="52" t="n">
        <f aca="false">IF(COUNT(Q5:T5)&lt;4,"",Q5*R5*S5*T5)</f>
        <v>120</v>
      </c>
      <c r="V5" s="16" t="str">
        <f aca="false">IF(U5="","",IF(U5&lt;=Seuil_Faible,"Faible",IF(U5&lt;=Seuil_Moyen,"Moyen",IF(U5&lt;=Seuil_Eleve,"Élevé","Critique"))))</f>
        <v>Moyen</v>
      </c>
      <c r="W5" s="13" t="n">
        <f aca="false">IF(U5="",0,U5+ROW()/100000)</f>
        <v>120.00005</v>
      </c>
    </row>
    <row r="6" customFormat="false" ht="21.75" hidden="false" customHeight="true" outlineLevel="0" collapsed="false">
      <c r="A6" s="16" t="s">
        <v>236</v>
      </c>
      <c r="B6" s="51" t="n">
        <v>46042</v>
      </c>
      <c r="C6" s="13" t="s">
        <v>37</v>
      </c>
      <c r="D6" s="13" t="s">
        <v>51</v>
      </c>
      <c r="E6" s="13" t="s">
        <v>97</v>
      </c>
      <c r="F6" s="13" t="s">
        <v>51</v>
      </c>
      <c r="G6" s="13" t="s">
        <v>118</v>
      </c>
      <c r="H6" s="13" t="s">
        <v>237</v>
      </c>
      <c r="I6" s="13" t="s">
        <v>56</v>
      </c>
      <c r="J6" s="13" t="s">
        <v>57</v>
      </c>
      <c r="K6" s="13" t="s">
        <v>238</v>
      </c>
      <c r="L6" s="13" t="s">
        <v>239</v>
      </c>
      <c r="M6" s="13" t="s">
        <v>240</v>
      </c>
      <c r="N6" s="13" t="s">
        <v>241</v>
      </c>
      <c r="O6" s="13" t="s">
        <v>242</v>
      </c>
      <c r="P6" s="13" t="s">
        <v>115</v>
      </c>
      <c r="Q6" s="16" t="n">
        <v>5</v>
      </c>
      <c r="R6" s="16" t="n">
        <v>3</v>
      </c>
      <c r="S6" s="16" t="n">
        <v>3</v>
      </c>
      <c r="T6" s="16" t="n">
        <v>2</v>
      </c>
      <c r="U6" s="52" t="n">
        <f aca="false">IF(COUNT(Q6:T6)&lt;4,"",Q6*R6*S6*T6)</f>
        <v>90</v>
      </c>
      <c r="V6" s="16" t="str">
        <f aca="false">IF(U6="","",IF(U6&lt;=Seuil_Faible,"Faible",IF(U6&lt;=Seuil_Moyen,"Moyen",IF(U6&lt;=Seuil_Eleve,"Élevé","Critique"))))</f>
        <v>Moyen</v>
      </c>
      <c r="W6" s="13" t="n">
        <f aca="false">IF(U6="",0,U6+ROW()/100000)</f>
        <v>90.00006</v>
      </c>
    </row>
    <row r="7" customFormat="false" ht="21.75" hidden="false" customHeight="true" outlineLevel="0" collapsed="false">
      <c r="A7" s="16" t="s">
        <v>243</v>
      </c>
      <c r="B7" s="51" t="n">
        <v>46056</v>
      </c>
      <c r="C7" s="13" t="s">
        <v>37</v>
      </c>
      <c r="D7" s="13" t="s">
        <v>51</v>
      </c>
      <c r="E7" s="13" t="s">
        <v>88</v>
      </c>
      <c r="F7" s="13" t="s">
        <v>51</v>
      </c>
      <c r="G7" s="13" t="s">
        <v>68</v>
      </c>
      <c r="H7" s="13" t="s">
        <v>244</v>
      </c>
      <c r="I7" s="13" t="s">
        <v>100</v>
      </c>
      <c r="J7" s="13" t="s">
        <v>101</v>
      </c>
      <c r="K7" s="13" t="s">
        <v>245</v>
      </c>
      <c r="L7" s="13" t="s">
        <v>100</v>
      </c>
      <c r="M7" s="13" t="s">
        <v>246</v>
      </c>
      <c r="N7" s="13" t="s">
        <v>247</v>
      </c>
      <c r="O7" s="13" t="s">
        <v>248</v>
      </c>
      <c r="P7" s="13" t="s">
        <v>109</v>
      </c>
      <c r="Q7" s="16" t="n">
        <v>5</v>
      </c>
      <c r="R7" s="16" t="n">
        <v>3</v>
      </c>
      <c r="S7" s="16" t="n">
        <v>2</v>
      </c>
      <c r="T7" s="16" t="n">
        <v>2</v>
      </c>
      <c r="U7" s="52" t="n">
        <f aca="false">IF(COUNT(Q7:T7)&lt;4,"",Q7*R7*S7*T7)</f>
        <v>60</v>
      </c>
      <c r="V7" s="16" t="str">
        <f aca="false">IF(U7="","",IF(U7&lt;=Seuil_Faible,"Faible",IF(U7&lt;=Seuil_Moyen,"Moyen",IF(U7&lt;=Seuil_Eleve,"Élevé","Critique"))))</f>
        <v>Moyen</v>
      </c>
      <c r="W7" s="13" t="n">
        <f aca="false">IF(U7="",0,U7+ROW()/100000)</f>
        <v>60.00007</v>
      </c>
    </row>
    <row r="8" customFormat="false" ht="21.75" hidden="false" customHeight="true" outlineLevel="0" collapsed="false">
      <c r="A8" s="16" t="s">
        <v>249</v>
      </c>
      <c r="B8" s="51" t="n">
        <v>46058</v>
      </c>
      <c r="C8" s="13" t="s">
        <v>37</v>
      </c>
      <c r="D8" s="13" t="s">
        <v>64</v>
      </c>
      <c r="E8" s="13" t="s">
        <v>105</v>
      </c>
      <c r="F8" s="13" t="s">
        <v>64</v>
      </c>
      <c r="G8" s="13" t="s">
        <v>112</v>
      </c>
      <c r="H8" s="13" t="s">
        <v>250</v>
      </c>
      <c r="I8" s="13" t="s">
        <v>113</v>
      </c>
      <c r="J8" s="13" t="s">
        <v>114</v>
      </c>
      <c r="K8" s="13" t="s">
        <v>251</v>
      </c>
      <c r="L8" s="13" t="s">
        <v>252</v>
      </c>
      <c r="M8" s="13" t="s">
        <v>253</v>
      </c>
      <c r="N8" s="13" t="s">
        <v>254</v>
      </c>
      <c r="O8" s="13" t="s">
        <v>255</v>
      </c>
      <c r="P8" s="13" t="s">
        <v>92</v>
      </c>
      <c r="Q8" s="16" t="n">
        <v>5</v>
      </c>
      <c r="R8" s="16" t="n">
        <v>4</v>
      </c>
      <c r="S8" s="16" t="n">
        <v>5</v>
      </c>
      <c r="T8" s="16" t="n">
        <v>4</v>
      </c>
      <c r="U8" s="52" t="n">
        <f aca="false">IF(COUNT(Q8:T8)&lt;4,"",Q8*R8*S8*T8)</f>
        <v>400</v>
      </c>
      <c r="V8" s="16" t="str">
        <f aca="false">IF(U8="","",IF(U8&lt;=Seuil_Faible,"Faible",IF(U8&lt;=Seuil_Moyen,"Moyen",IF(U8&lt;=Seuil_Eleve,"Élevé","Critique"))))</f>
        <v>Critique</v>
      </c>
      <c r="W8" s="13" t="n">
        <f aca="false">IF(U8="",0,U8+ROW()/100000)</f>
        <v>400.00008</v>
      </c>
    </row>
    <row r="9" customFormat="false" ht="21.75" hidden="false" customHeight="true" outlineLevel="0" collapsed="false">
      <c r="A9" s="16" t="s">
        <v>256</v>
      </c>
      <c r="B9" s="51" t="n">
        <v>46063</v>
      </c>
      <c r="C9" s="13" t="s">
        <v>37</v>
      </c>
      <c r="D9" s="13" t="s">
        <v>64</v>
      </c>
      <c r="E9" s="13" t="s">
        <v>111</v>
      </c>
      <c r="F9" s="13" t="s">
        <v>64</v>
      </c>
      <c r="G9" s="13" t="s">
        <v>130</v>
      </c>
      <c r="H9" s="13" t="s">
        <v>257</v>
      </c>
      <c r="I9" s="13" t="s">
        <v>43</v>
      </c>
      <c r="J9" s="13" t="s">
        <v>133</v>
      </c>
      <c r="K9" s="13" t="s">
        <v>258</v>
      </c>
      <c r="L9" s="13" t="s">
        <v>259</v>
      </c>
      <c r="M9" s="13" t="s">
        <v>260</v>
      </c>
      <c r="N9" s="13" t="s">
        <v>261</v>
      </c>
      <c r="O9" s="13" t="s">
        <v>262</v>
      </c>
      <c r="P9" s="13" t="s">
        <v>71</v>
      </c>
      <c r="Q9" s="16" t="n">
        <v>2</v>
      </c>
      <c r="R9" s="16" t="n">
        <v>4</v>
      </c>
      <c r="S9" s="16" t="n">
        <v>5</v>
      </c>
      <c r="T9" s="16" t="n">
        <v>3</v>
      </c>
      <c r="U9" s="52" t="n">
        <f aca="false">IF(COUNT(Q9:T9)&lt;4,"",Q9*R9*S9*T9)</f>
        <v>120</v>
      </c>
      <c r="V9" s="16" t="str">
        <f aca="false">IF(U9="","",IF(U9&lt;=Seuil_Faible,"Faible",IF(U9&lt;=Seuil_Moyen,"Moyen",IF(U9&lt;=Seuil_Eleve,"Élevé","Critique"))))</f>
        <v>Moyen</v>
      </c>
      <c r="W9" s="13" t="n">
        <f aca="false">IF(U9="",0,U9+ROW()/100000)</f>
        <v>120.00009</v>
      </c>
    </row>
    <row r="10" customFormat="false" ht="21.75" hidden="false" customHeight="true" outlineLevel="0" collapsed="false">
      <c r="A10" s="16" t="s">
        <v>263</v>
      </c>
      <c r="B10" s="51" t="n">
        <v>46065</v>
      </c>
      <c r="C10" s="13" t="s">
        <v>37</v>
      </c>
      <c r="D10" s="13" t="s">
        <v>87</v>
      </c>
      <c r="E10" s="13" t="s">
        <v>122</v>
      </c>
      <c r="F10" s="13" t="s">
        <v>54</v>
      </c>
      <c r="G10" s="13" t="s">
        <v>127</v>
      </c>
      <c r="H10" s="13" t="s">
        <v>264</v>
      </c>
      <c r="I10" s="13" t="s">
        <v>90</v>
      </c>
      <c r="J10" s="13" t="s">
        <v>132</v>
      </c>
      <c r="K10" s="13" t="s">
        <v>265</v>
      </c>
      <c r="L10" s="13" t="s">
        <v>266</v>
      </c>
      <c r="M10" s="13" t="s">
        <v>267</v>
      </c>
      <c r="N10" s="13" t="s">
        <v>268</v>
      </c>
      <c r="O10" s="13" t="s">
        <v>269</v>
      </c>
      <c r="P10" s="13" t="s">
        <v>58</v>
      </c>
      <c r="Q10" s="16" t="n">
        <v>2</v>
      </c>
      <c r="R10" s="16" t="n">
        <v>3</v>
      </c>
      <c r="S10" s="16" t="n">
        <v>5</v>
      </c>
      <c r="T10" s="16" t="n">
        <v>3</v>
      </c>
      <c r="U10" s="52" t="n">
        <f aca="false">IF(COUNT(Q10:T10)&lt;4,"",Q10*R10*S10*T10)</f>
        <v>90</v>
      </c>
      <c r="V10" s="16" t="str">
        <f aca="false">IF(U10="","",IF(U10&lt;=Seuil_Faible,"Faible",IF(U10&lt;=Seuil_Moyen,"Moyen",IF(U10&lt;=Seuil_Eleve,"Élevé","Critique"))))</f>
        <v>Moyen</v>
      </c>
      <c r="W10" s="13" t="n">
        <f aca="false">IF(U10="",0,U10+ROW()/100000)</f>
        <v>90.0001</v>
      </c>
    </row>
    <row r="11" customFormat="false" ht="21.75" hidden="false" customHeight="true" outlineLevel="0" collapsed="false">
      <c r="A11" s="16" t="s">
        <v>270</v>
      </c>
      <c r="B11" s="51" t="n">
        <v>46071</v>
      </c>
      <c r="C11" s="13" t="s">
        <v>50</v>
      </c>
      <c r="D11" s="13" t="s">
        <v>38</v>
      </c>
      <c r="E11" s="13" t="s">
        <v>77</v>
      </c>
      <c r="F11" s="13" t="s">
        <v>41</v>
      </c>
      <c r="G11" s="13" t="s">
        <v>99</v>
      </c>
      <c r="H11" s="13" t="s">
        <v>271</v>
      </c>
      <c r="I11" s="13" t="s">
        <v>69</v>
      </c>
      <c r="J11" s="13" t="s">
        <v>70</v>
      </c>
      <c r="K11" s="13" t="s">
        <v>272</v>
      </c>
      <c r="L11" s="13" t="s">
        <v>273</v>
      </c>
      <c r="M11" s="13" t="s">
        <v>274</v>
      </c>
      <c r="N11" s="13" t="s">
        <v>275</v>
      </c>
      <c r="O11" s="13" t="s">
        <v>276</v>
      </c>
      <c r="P11" s="13" t="s">
        <v>121</v>
      </c>
      <c r="Q11" s="16" t="n">
        <v>4</v>
      </c>
      <c r="R11" s="16" t="n">
        <v>4</v>
      </c>
      <c r="S11" s="16" t="n">
        <v>5</v>
      </c>
      <c r="T11" s="16" t="n">
        <v>2</v>
      </c>
      <c r="U11" s="52" t="n">
        <f aca="false">IF(COUNT(Q11:T11)&lt;4,"",Q11*R11*S11*T11)</f>
        <v>160</v>
      </c>
      <c r="V11" s="16" t="str">
        <f aca="false">IF(U11="","",IF(U11&lt;=Seuil_Faible,"Faible",IF(U11&lt;=Seuil_Moyen,"Moyen",IF(U11&lt;=Seuil_Eleve,"Élevé","Critique"))))</f>
        <v>Élevé</v>
      </c>
      <c r="W11" s="13" t="n">
        <f aca="false">IF(U11="",0,U11+ROW()/100000)</f>
        <v>160.00011</v>
      </c>
    </row>
    <row r="12" customFormat="false" ht="21.75" hidden="false" customHeight="true" outlineLevel="0" collapsed="false">
      <c r="A12" s="16" t="s">
        <v>277</v>
      </c>
      <c r="B12" s="51" t="n">
        <v>46071</v>
      </c>
      <c r="C12" s="13" t="s">
        <v>50</v>
      </c>
      <c r="D12" s="13" t="s">
        <v>38</v>
      </c>
      <c r="E12" s="13" t="s">
        <v>77</v>
      </c>
      <c r="F12" s="13" t="s">
        <v>41</v>
      </c>
      <c r="G12" s="13" t="s">
        <v>99</v>
      </c>
      <c r="H12" s="13" t="s">
        <v>271</v>
      </c>
      <c r="I12" s="13" t="s">
        <v>107</v>
      </c>
      <c r="J12" s="13" t="s">
        <v>108</v>
      </c>
      <c r="K12" s="13" t="s">
        <v>278</v>
      </c>
      <c r="L12" s="13" t="s">
        <v>279</v>
      </c>
      <c r="M12" s="13" t="s">
        <v>227</v>
      </c>
      <c r="N12" s="13" t="s">
        <v>280</v>
      </c>
      <c r="O12" s="13" t="s">
        <v>281</v>
      </c>
      <c r="P12" s="13" t="s">
        <v>92</v>
      </c>
      <c r="Q12" s="16" t="n">
        <v>5</v>
      </c>
      <c r="R12" s="16" t="n">
        <v>2</v>
      </c>
      <c r="S12" s="16" t="n">
        <v>4</v>
      </c>
      <c r="T12" s="16" t="n">
        <v>3</v>
      </c>
      <c r="U12" s="52" t="n">
        <f aca="false">IF(COUNT(Q12:T12)&lt;4,"",Q12*R12*S12*T12)</f>
        <v>120</v>
      </c>
      <c r="V12" s="16" t="str">
        <f aca="false">IF(U12="","",IF(U12&lt;=Seuil_Faible,"Faible",IF(U12&lt;=Seuil_Moyen,"Moyen",IF(U12&lt;=Seuil_Eleve,"Élevé","Critique"))))</f>
        <v>Moyen</v>
      </c>
      <c r="W12" s="13" t="n">
        <f aca="false">IF(U12="",0,U12+ROW()/100000)</f>
        <v>120.00012</v>
      </c>
    </row>
    <row r="13" customFormat="false" ht="21.75" hidden="false" customHeight="true" outlineLevel="0" collapsed="false">
      <c r="A13" s="16" t="s">
        <v>282</v>
      </c>
      <c r="B13" s="51" t="n">
        <v>46083</v>
      </c>
      <c r="C13" s="13" t="s">
        <v>50</v>
      </c>
      <c r="D13" s="13" t="s">
        <v>38</v>
      </c>
      <c r="E13" s="13" t="s">
        <v>52</v>
      </c>
      <c r="F13" s="13" t="s">
        <v>41</v>
      </c>
      <c r="G13" s="13" t="s">
        <v>42</v>
      </c>
      <c r="H13" s="13" t="s">
        <v>283</v>
      </c>
      <c r="I13" s="13" t="s">
        <v>90</v>
      </c>
      <c r="J13" s="13" t="s">
        <v>91</v>
      </c>
      <c r="K13" s="13" t="s">
        <v>284</v>
      </c>
      <c r="L13" s="13" t="s">
        <v>285</v>
      </c>
      <c r="M13" s="13" t="s">
        <v>286</v>
      </c>
      <c r="N13" s="13" t="s">
        <v>287</v>
      </c>
      <c r="O13" s="13" t="s">
        <v>288</v>
      </c>
      <c r="P13" s="13" t="s">
        <v>58</v>
      </c>
      <c r="Q13" s="16" t="n">
        <v>3</v>
      </c>
      <c r="R13" s="16" t="n">
        <v>4</v>
      </c>
      <c r="S13" s="16" t="n">
        <v>5</v>
      </c>
      <c r="T13" s="16" t="n">
        <v>4</v>
      </c>
      <c r="U13" s="52" t="n">
        <f aca="false">IF(COUNT(Q13:T13)&lt;4,"",Q13*R13*S13*T13)</f>
        <v>240</v>
      </c>
      <c r="V13" s="16" t="str">
        <f aca="false">IF(U13="","",IF(U13&lt;=Seuil_Faible,"Faible",IF(U13&lt;=Seuil_Moyen,"Moyen",IF(U13&lt;=Seuil_Eleve,"Élevé","Critique"))))</f>
        <v>Critique</v>
      </c>
      <c r="W13" s="13" t="n">
        <f aca="false">IF(U13="",0,U13+ROW()/100000)</f>
        <v>240.00013</v>
      </c>
    </row>
    <row r="14" customFormat="false" ht="21.75" hidden="false" customHeight="true" outlineLevel="0" collapsed="false">
      <c r="A14" s="16" t="s">
        <v>289</v>
      </c>
      <c r="B14" s="51" t="n">
        <v>46083</v>
      </c>
      <c r="C14" s="13" t="s">
        <v>50</v>
      </c>
      <c r="D14" s="13" t="s">
        <v>38</v>
      </c>
      <c r="E14" s="13" t="s">
        <v>52</v>
      </c>
      <c r="F14" s="13" t="s">
        <v>41</v>
      </c>
      <c r="G14" s="13" t="s">
        <v>39</v>
      </c>
      <c r="H14" s="13" t="s">
        <v>283</v>
      </c>
      <c r="I14" s="13" t="s">
        <v>43</v>
      </c>
      <c r="J14" s="13" t="s">
        <v>44</v>
      </c>
      <c r="K14" s="13" t="s">
        <v>290</v>
      </c>
      <c r="L14" s="13" t="s">
        <v>291</v>
      </c>
      <c r="M14" s="13" t="s">
        <v>292</v>
      </c>
      <c r="N14" s="13" t="s">
        <v>293</v>
      </c>
      <c r="O14" s="13" t="s">
        <v>288</v>
      </c>
      <c r="P14" s="13" t="s">
        <v>126</v>
      </c>
      <c r="Q14" s="16" t="n">
        <v>4</v>
      </c>
      <c r="R14" s="16" t="n">
        <v>3</v>
      </c>
      <c r="S14" s="16" t="n">
        <v>4</v>
      </c>
      <c r="T14" s="16" t="n">
        <v>3</v>
      </c>
      <c r="U14" s="52" t="n">
        <f aca="false">IF(COUNT(Q14:T14)&lt;4,"",Q14*R14*S14*T14)</f>
        <v>144</v>
      </c>
      <c r="V14" s="16" t="str">
        <f aca="false">IF(U14="","",IF(U14&lt;=Seuil_Faible,"Faible",IF(U14&lt;=Seuil_Moyen,"Moyen",IF(U14&lt;=Seuil_Eleve,"Élevé","Critique"))))</f>
        <v>Élevé</v>
      </c>
      <c r="W14" s="13" t="n">
        <f aca="false">IF(U14="",0,U14+ROW()/100000)</f>
        <v>144.00014</v>
      </c>
    </row>
    <row r="15" customFormat="false" ht="21.75" hidden="false" customHeight="true" outlineLevel="0" collapsed="false">
      <c r="A15" s="16" t="s">
        <v>294</v>
      </c>
      <c r="B15" s="51" t="n">
        <v>46090</v>
      </c>
      <c r="C15" s="13" t="s">
        <v>50</v>
      </c>
      <c r="D15" s="13" t="s">
        <v>51</v>
      </c>
      <c r="E15" s="13" t="s">
        <v>88</v>
      </c>
      <c r="F15" s="13" t="s">
        <v>51</v>
      </c>
      <c r="G15" s="13" t="s">
        <v>123</v>
      </c>
      <c r="H15" s="13" t="s">
        <v>295</v>
      </c>
      <c r="I15" s="13" t="s">
        <v>69</v>
      </c>
      <c r="J15" s="13" t="s">
        <v>70</v>
      </c>
      <c r="K15" s="13" t="s">
        <v>296</v>
      </c>
      <c r="L15" s="13" t="s">
        <v>297</v>
      </c>
      <c r="M15" s="13" t="s">
        <v>298</v>
      </c>
      <c r="N15" s="13" t="s">
        <v>299</v>
      </c>
      <c r="O15" s="13" t="s">
        <v>300</v>
      </c>
      <c r="P15" s="13" t="s">
        <v>45</v>
      </c>
      <c r="Q15" s="16" t="n">
        <v>2</v>
      </c>
      <c r="R15" s="16" t="n">
        <v>4</v>
      </c>
      <c r="S15" s="16" t="n">
        <v>4</v>
      </c>
      <c r="T15" s="16" t="n">
        <v>2</v>
      </c>
      <c r="U15" s="52" t="n">
        <f aca="false">IF(COUNT(Q15:T15)&lt;4,"",Q15*R15*S15*T15)</f>
        <v>64</v>
      </c>
      <c r="V15" s="16" t="str">
        <f aca="false">IF(U15="","",IF(U15&lt;=Seuil_Faible,"Faible",IF(U15&lt;=Seuil_Moyen,"Moyen",IF(U15&lt;=Seuil_Eleve,"Élevé","Critique"))))</f>
        <v>Moyen</v>
      </c>
      <c r="W15" s="13" t="n">
        <f aca="false">IF(U15="",0,U15+ROW()/100000)</f>
        <v>64.00015</v>
      </c>
    </row>
    <row r="16" customFormat="false" ht="21.75" hidden="false" customHeight="true" outlineLevel="0" collapsed="false">
      <c r="A16" s="16" t="s">
        <v>301</v>
      </c>
      <c r="B16" s="51" t="n">
        <v>46091</v>
      </c>
      <c r="C16" s="13" t="s">
        <v>50</v>
      </c>
      <c r="D16" s="13" t="s">
        <v>64</v>
      </c>
      <c r="E16" s="13" t="s">
        <v>105</v>
      </c>
      <c r="F16" s="13" t="s">
        <v>64</v>
      </c>
      <c r="G16" s="13" t="s">
        <v>55</v>
      </c>
      <c r="H16" s="13" t="s">
        <v>250</v>
      </c>
      <c r="I16" s="13" t="s">
        <v>43</v>
      </c>
      <c r="J16" s="13" t="s">
        <v>91</v>
      </c>
      <c r="K16" s="13" t="s">
        <v>302</v>
      </c>
      <c r="L16" s="13" t="s">
        <v>303</v>
      </c>
      <c r="M16" s="13" t="s">
        <v>304</v>
      </c>
      <c r="N16" s="13" t="s">
        <v>254</v>
      </c>
      <c r="O16" s="13" t="s">
        <v>305</v>
      </c>
      <c r="P16" s="13" t="s">
        <v>102</v>
      </c>
      <c r="Q16" s="16" t="n">
        <v>5</v>
      </c>
      <c r="R16" s="16" t="n">
        <v>2</v>
      </c>
      <c r="S16" s="16" t="n">
        <v>4</v>
      </c>
      <c r="T16" s="16" t="n">
        <v>3</v>
      </c>
      <c r="U16" s="52" t="n">
        <f aca="false">IF(COUNT(Q16:T16)&lt;4,"",Q16*R16*S16*T16)</f>
        <v>120</v>
      </c>
      <c r="V16" s="16" t="str">
        <f aca="false">IF(U16="","",IF(U16&lt;=Seuil_Faible,"Faible",IF(U16&lt;=Seuil_Moyen,"Moyen",IF(U16&lt;=Seuil_Eleve,"Élevé","Critique"))))</f>
        <v>Moyen</v>
      </c>
      <c r="W16" s="13" t="n">
        <f aca="false">IF(U16="",0,U16+ROW()/100000)</f>
        <v>120.00016</v>
      </c>
    </row>
    <row r="17" customFormat="false" ht="21.75" hidden="false" customHeight="true" outlineLevel="0" collapsed="false">
      <c r="A17" s="16" t="s">
        <v>306</v>
      </c>
      <c r="B17" s="51" t="n">
        <v>46097</v>
      </c>
      <c r="C17" s="13" t="s">
        <v>50</v>
      </c>
      <c r="D17" s="13" t="s">
        <v>76</v>
      </c>
      <c r="E17" s="13" t="s">
        <v>117</v>
      </c>
      <c r="F17" s="13" t="s">
        <v>54</v>
      </c>
      <c r="G17" s="13" t="s">
        <v>106</v>
      </c>
      <c r="H17" s="13" t="s">
        <v>307</v>
      </c>
      <c r="I17" s="13" t="s">
        <v>69</v>
      </c>
      <c r="J17" s="13" t="s">
        <v>70</v>
      </c>
      <c r="K17" s="13" t="s">
        <v>308</v>
      </c>
      <c r="L17" s="13" t="s">
        <v>309</v>
      </c>
      <c r="M17" s="13" t="s">
        <v>310</v>
      </c>
      <c r="N17" s="13" t="s">
        <v>311</v>
      </c>
      <c r="O17" s="13" t="s">
        <v>312</v>
      </c>
      <c r="P17" s="13" t="s">
        <v>121</v>
      </c>
      <c r="Q17" s="16" t="n">
        <v>4</v>
      </c>
      <c r="R17" s="16" t="n">
        <v>2</v>
      </c>
      <c r="S17" s="16" t="n">
        <v>3</v>
      </c>
      <c r="T17" s="16" t="n">
        <v>1</v>
      </c>
      <c r="U17" s="52" t="n">
        <f aca="false">IF(COUNT(Q17:T17)&lt;4,"",Q17*R17*S17*T17)</f>
        <v>24</v>
      </c>
      <c r="V17" s="16" t="str">
        <f aca="false">IF(U17="","",IF(U17&lt;=Seuil_Faible,"Faible",IF(U17&lt;=Seuil_Moyen,"Moyen",IF(U17&lt;=Seuil_Eleve,"Élevé","Critique"))))</f>
        <v>Faible</v>
      </c>
      <c r="W17" s="13" t="n">
        <f aca="false">IF(U17="",0,U17+ROW()/100000)</f>
        <v>24.00017</v>
      </c>
    </row>
    <row r="18" customFormat="false" ht="21.75" hidden="false" customHeight="true" outlineLevel="0" collapsed="false">
      <c r="A18" s="16" t="s">
        <v>313</v>
      </c>
      <c r="B18" s="51" t="n">
        <v>46097</v>
      </c>
      <c r="C18" s="13" t="s">
        <v>50</v>
      </c>
      <c r="D18" s="13" t="s">
        <v>76</v>
      </c>
      <c r="E18" s="13" t="s">
        <v>117</v>
      </c>
      <c r="F18" s="13" t="s">
        <v>54</v>
      </c>
      <c r="G18" s="13" t="s">
        <v>106</v>
      </c>
      <c r="H18" s="13" t="s">
        <v>307</v>
      </c>
      <c r="I18" s="13" t="s">
        <v>128</v>
      </c>
      <c r="J18" s="13" t="s">
        <v>134</v>
      </c>
      <c r="K18" s="13" t="s">
        <v>314</v>
      </c>
      <c r="L18" s="13" t="s">
        <v>315</v>
      </c>
      <c r="M18" s="13" t="s">
        <v>316</v>
      </c>
      <c r="N18" s="13" t="s">
        <v>317</v>
      </c>
      <c r="O18" s="13" t="s">
        <v>312</v>
      </c>
      <c r="P18" s="13" t="s">
        <v>45</v>
      </c>
      <c r="Q18" s="16" t="n">
        <v>3</v>
      </c>
      <c r="R18" s="16" t="n">
        <v>2</v>
      </c>
      <c r="S18" s="16" t="n">
        <v>3</v>
      </c>
      <c r="T18" s="16" t="n">
        <v>1</v>
      </c>
      <c r="U18" s="52" t="n">
        <f aca="false">IF(COUNT(Q18:T18)&lt;4,"",Q18*R18*S18*T18)</f>
        <v>18</v>
      </c>
      <c r="V18" s="16" t="str">
        <f aca="false">IF(U18="","",IF(U18&lt;=Seuil_Faible,"Faible",IF(U18&lt;=Seuil_Moyen,"Moyen",IF(U18&lt;=Seuil_Eleve,"Élevé","Critique"))))</f>
        <v>Faible</v>
      </c>
      <c r="W18" s="13" t="n">
        <f aca="false">IF(U18="",0,U18+ROW()/100000)</f>
        <v>18.00018</v>
      </c>
    </row>
    <row r="19" customFormat="false" ht="21.75" hidden="false" customHeight="true" outlineLevel="0" collapsed="false">
      <c r="A19" s="16" t="s">
        <v>318</v>
      </c>
      <c r="B19" s="51" t="n">
        <v>46104</v>
      </c>
      <c r="C19" s="13" t="s">
        <v>63</v>
      </c>
      <c r="D19" s="13" t="s">
        <v>38</v>
      </c>
      <c r="E19" s="13" t="s">
        <v>39</v>
      </c>
      <c r="F19" s="13" t="s">
        <v>41</v>
      </c>
      <c r="G19" s="13" t="s">
        <v>39</v>
      </c>
      <c r="H19" s="13" t="s">
        <v>319</v>
      </c>
      <c r="I19" s="13" t="s">
        <v>80</v>
      </c>
      <c r="J19" s="13" t="s">
        <v>135</v>
      </c>
      <c r="K19" s="13" t="s">
        <v>320</v>
      </c>
      <c r="L19" s="13" t="s">
        <v>321</v>
      </c>
      <c r="M19" s="13" t="s">
        <v>322</v>
      </c>
      <c r="N19" s="13" t="s">
        <v>323</v>
      </c>
      <c r="O19" s="13" t="s">
        <v>217</v>
      </c>
      <c r="P19" s="13" t="s">
        <v>58</v>
      </c>
      <c r="Q19" s="16" t="n">
        <v>3</v>
      </c>
      <c r="R19" s="16" t="n">
        <v>3</v>
      </c>
      <c r="S19" s="16" t="n">
        <v>4</v>
      </c>
      <c r="T19" s="16" t="n">
        <v>2</v>
      </c>
      <c r="U19" s="52" t="n">
        <f aca="false">IF(COUNT(Q19:T19)&lt;4,"",Q19*R19*S19*T19)</f>
        <v>72</v>
      </c>
      <c r="V19" s="16" t="str">
        <f aca="false">IF(U19="","",IF(U19&lt;=Seuil_Faible,"Faible",IF(U19&lt;=Seuil_Moyen,"Moyen",IF(U19&lt;=Seuil_Eleve,"Élevé","Critique"))))</f>
        <v>Moyen</v>
      </c>
      <c r="W19" s="13" t="n">
        <f aca="false">IF(U19="",0,U19+ROW()/100000)</f>
        <v>72.00019</v>
      </c>
    </row>
    <row r="20" customFormat="false" ht="21.75" hidden="false" customHeight="true" outlineLevel="0" collapsed="false">
      <c r="A20" s="16" t="s">
        <v>324</v>
      </c>
      <c r="B20" s="51" t="n">
        <v>46104</v>
      </c>
      <c r="C20" s="13" t="s">
        <v>63</v>
      </c>
      <c r="D20" s="13" t="s">
        <v>38</v>
      </c>
      <c r="E20" s="13" t="s">
        <v>65</v>
      </c>
      <c r="F20" s="13" t="s">
        <v>41</v>
      </c>
      <c r="G20" s="13" t="s">
        <v>79</v>
      </c>
      <c r="H20" s="13" t="s">
        <v>224</v>
      </c>
      <c r="I20" s="13" t="s">
        <v>124</v>
      </c>
      <c r="J20" s="13" t="s">
        <v>120</v>
      </c>
      <c r="K20" s="13" t="s">
        <v>325</v>
      </c>
      <c r="L20" s="13" t="s">
        <v>326</v>
      </c>
      <c r="M20" s="13" t="s">
        <v>327</v>
      </c>
      <c r="N20" s="13" t="s">
        <v>328</v>
      </c>
      <c r="O20" s="13" t="s">
        <v>235</v>
      </c>
      <c r="P20" s="13" t="s">
        <v>92</v>
      </c>
      <c r="Q20" s="16" t="n">
        <v>2</v>
      </c>
      <c r="R20" s="16" t="n">
        <v>4</v>
      </c>
      <c r="S20" s="16" t="n">
        <v>5</v>
      </c>
      <c r="T20" s="16" t="n">
        <v>2</v>
      </c>
      <c r="U20" s="52" t="n">
        <f aca="false">IF(COUNT(Q20:T20)&lt;4,"",Q20*R20*S20*T20)</f>
        <v>80</v>
      </c>
      <c r="V20" s="16" t="str">
        <f aca="false">IF(U20="","",IF(U20&lt;=Seuil_Faible,"Faible",IF(U20&lt;=Seuil_Moyen,"Moyen",IF(U20&lt;=Seuil_Eleve,"Élevé","Critique"))))</f>
        <v>Moyen</v>
      </c>
      <c r="W20" s="13" t="n">
        <f aca="false">IF(U20="",0,U20+ROW()/100000)</f>
        <v>80.0002</v>
      </c>
    </row>
    <row r="21" customFormat="false" ht="21.75" hidden="false" customHeight="true" outlineLevel="0" collapsed="false">
      <c r="A21" s="16" t="s">
        <v>329</v>
      </c>
      <c r="B21" s="51" t="n">
        <v>46118</v>
      </c>
      <c r="C21" s="13" t="s">
        <v>63</v>
      </c>
      <c r="D21" s="13" t="s">
        <v>38</v>
      </c>
      <c r="E21" s="13" t="s">
        <v>39</v>
      </c>
      <c r="F21" s="13" t="s">
        <v>41</v>
      </c>
      <c r="G21" s="13" t="s">
        <v>39</v>
      </c>
      <c r="H21" s="13" t="s">
        <v>319</v>
      </c>
      <c r="I21" s="13" t="s">
        <v>43</v>
      </c>
      <c r="J21" s="13" t="s">
        <v>129</v>
      </c>
      <c r="K21" s="13" t="s">
        <v>330</v>
      </c>
      <c r="L21" s="13" t="s">
        <v>331</v>
      </c>
      <c r="M21" s="13" t="s">
        <v>332</v>
      </c>
      <c r="N21" s="13" t="s">
        <v>333</v>
      </c>
      <c r="O21" s="13" t="s">
        <v>217</v>
      </c>
      <c r="P21" s="13" t="s">
        <v>126</v>
      </c>
      <c r="Q21" s="16" t="n">
        <v>4</v>
      </c>
      <c r="R21" s="16" t="n">
        <v>3</v>
      </c>
      <c r="S21" s="16" t="n">
        <v>5</v>
      </c>
      <c r="T21" s="16" t="n">
        <v>3</v>
      </c>
      <c r="U21" s="52" t="n">
        <f aca="false">IF(COUNT(Q21:T21)&lt;4,"",Q21*R21*S21*T21)</f>
        <v>180</v>
      </c>
      <c r="V21" s="16" t="str">
        <f aca="false">IF(U21="","",IF(U21&lt;=Seuil_Faible,"Faible",IF(U21&lt;=Seuil_Moyen,"Moyen",IF(U21&lt;=Seuil_Eleve,"Élevé","Critique"))))</f>
        <v>Élevé</v>
      </c>
      <c r="W21" s="13" t="n">
        <f aca="false">IF(U21="",0,U21+ROW()/100000)</f>
        <v>180.00021</v>
      </c>
    </row>
    <row r="22" customFormat="false" ht="21.75" hidden="false" customHeight="true" outlineLevel="0" collapsed="false">
      <c r="A22" s="16" t="s">
        <v>334</v>
      </c>
      <c r="B22" s="51" t="n">
        <v>46120</v>
      </c>
      <c r="C22" s="13" t="s">
        <v>63</v>
      </c>
      <c r="D22" s="13" t="s">
        <v>51</v>
      </c>
      <c r="E22" s="13" t="s">
        <v>97</v>
      </c>
      <c r="F22" s="13" t="s">
        <v>51</v>
      </c>
      <c r="G22" s="13" t="s">
        <v>118</v>
      </c>
      <c r="H22" s="13" t="s">
        <v>237</v>
      </c>
      <c r="I22" s="13" t="s">
        <v>56</v>
      </c>
      <c r="J22" s="13" t="s">
        <v>57</v>
      </c>
      <c r="K22" s="13" t="s">
        <v>335</v>
      </c>
      <c r="L22" s="13" t="s">
        <v>336</v>
      </c>
      <c r="M22" s="13" t="s">
        <v>337</v>
      </c>
      <c r="N22" s="13" t="s">
        <v>338</v>
      </c>
      <c r="O22" s="13" t="s">
        <v>255</v>
      </c>
      <c r="P22" s="13" t="s">
        <v>102</v>
      </c>
      <c r="Q22" s="16" t="n">
        <v>4</v>
      </c>
      <c r="R22" s="16" t="n">
        <v>3</v>
      </c>
      <c r="S22" s="16" t="n">
        <v>4</v>
      </c>
      <c r="T22" s="16" t="n">
        <v>4</v>
      </c>
      <c r="U22" s="52" t="n">
        <f aca="false">IF(COUNT(Q22:T22)&lt;4,"",Q22*R22*S22*T22)</f>
        <v>192</v>
      </c>
      <c r="V22" s="16" t="str">
        <f aca="false">IF(U22="","",IF(U22&lt;=Seuil_Faible,"Faible",IF(U22&lt;=Seuil_Moyen,"Moyen",IF(U22&lt;=Seuil_Eleve,"Élevé","Critique"))))</f>
        <v>Élevé</v>
      </c>
      <c r="W22" s="13" t="n">
        <f aca="false">IF(U22="",0,U22+ROW()/100000)</f>
        <v>192.00022</v>
      </c>
    </row>
    <row r="23" customFormat="false" ht="21.75" hidden="false" customHeight="true" outlineLevel="0" collapsed="false">
      <c r="A23" s="16" t="s">
        <v>339</v>
      </c>
      <c r="B23" s="51" t="n">
        <v>46125</v>
      </c>
      <c r="C23" s="13" t="s">
        <v>63</v>
      </c>
      <c r="D23" s="13" t="s">
        <v>64</v>
      </c>
      <c r="E23" s="13" t="s">
        <v>111</v>
      </c>
      <c r="F23" s="13" t="s">
        <v>64</v>
      </c>
      <c r="G23" s="13" t="s">
        <v>130</v>
      </c>
      <c r="H23" s="13" t="s">
        <v>257</v>
      </c>
      <c r="I23" s="13" t="s">
        <v>113</v>
      </c>
      <c r="J23" s="13" t="s">
        <v>114</v>
      </c>
      <c r="K23" s="13" t="s">
        <v>340</v>
      </c>
      <c r="L23" s="13" t="s">
        <v>341</v>
      </c>
      <c r="M23" s="13" t="s">
        <v>342</v>
      </c>
      <c r="N23" s="13" t="s">
        <v>343</v>
      </c>
      <c r="O23" s="13" t="s">
        <v>262</v>
      </c>
      <c r="P23" s="13" t="s">
        <v>71</v>
      </c>
      <c r="Q23" s="16" t="n">
        <v>5</v>
      </c>
      <c r="R23" s="16" t="n">
        <v>3</v>
      </c>
      <c r="S23" s="16" t="n">
        <v>4</v>
      </c>
      <c r="T23" s="16" t="n">
        <v>2</v>
      </c>
      <c r="U23" s="52" t="n">
        <f aca="false">IF(COUNT(Q23:T23)&lt;4,"",Q23*R23*S23*T23)</f>
        <v>120</v>
      </c>
      <c r="V23" s="16" t="str">
        <f aca="false">IF(U23="","",IF(U23&lt;=Seuil_Faible,"Faible",IF(U23&lt;=Seuil_Moyen,"Moyen",IF(U23&lt;=Seuil_Eleve,"Élevé","Critique"))))</f>
        <v>Moyen</v>
      </c>
      <c r="W23" s="13" t="n">
        <f aca="false">IF(U23="",0,U23+ROW()/100000)</f>
        <v>120.00023</v>
      </c>
    </row>
    <row r="24" customFormat="false" ht="21.75" hidden="false" customHeight="true" outlineLevel="0" collapsed="false">
      <c r="A24" s="16" t="s">
        <v>344</v>
      </c>
      <c r="B24" s="51" t="n">
        <v>46132</v>
      </c>
      <c r="C24" s="13" t="s">
        <v>63</v>
      </c>
      <c r="D24" s="13" t="s">
        <v>87</v>
      </c>
      <c r="E24" s="13" t="s">
        <v>122</v>
      </c>
      <c r="F24" s="13" t="s">
        <v>67</v>
      </c>
      <c r="G24" s="13" t="s">
        <v>127</v>
      </c>
      <c r="H24" s="13" t="s">
        <v>345</v>
      </c>
      <c r="I24" s="13" t="s">
        <v>119</v>
      </c>
      <c r="J24" s="13" t="s">
        <v>132</v>
      </c>
      <c r="K24" s="13" t="s">
        <v>346</v>
      </c>
      <c r="L24" s="13" t="s">
        <v>347</v>
      </c>
      <c r="M24" s="13" t="s">
        <v>348</v>
      </c>
      <c r="N24" s="13" t="s">
        <v>349</v>
      </c>
      <c r="O24" s="13" t="s">
        <v>350</v>
      </c>
      <c r="P24" s="13" t="s">
        <v>126</v>
      </c>
      <c r="Q24" s="16" t="n">
        <v>3</v>
      </c>
      <c r="R24" s="16" t="n">
        <v>4</v>
      </c>
      <c r="S24" s="16" t="n">
        <v>4</v>
      </c>
      <c r="T24" s="16" t="n">
        <v>3</v>
      </c>
      <c r="U24" s="52" t="n">
        <f aca="false">IF(COUNT(Q24:T24)&lt;4,"",Q24*R24*S24*T24)</f>
        <v>144</v>
      </c>
      <c r="V24" s="16" t="str">
        <f aca="false">IF(U24="","",IF(U24&lt;=Seuil_Faible,"Faible",IF(U24&lt;=Seuil_Moyen,"Moyen",IF(U24&lt;=Seuil_Eleve,"Élevé","Critique"))))</f>
        <v>Élevé</v>
      </c>
      <c r="W24" s="13" t="n">
        <f aca="false">IF(U24="",0,U24+ROW()/100000)</f>
        <v>144.00024</v>
      </c>
    </row>
    <row r="25" customFormat="false" ht="21.75" hidden="false" customHeight="true" outlineLevel="0" collapsed="false">
      <c r="A25" s="16" t="s">
        <v>351</v>
      </c>
      <c r="B25" s="51" t="n">
        <v>46146</v>
      </c>
      <c r="C25" s="13" t="s">
        <v>63</v>
      </c>
      <c r="D25" s="13" t="s">
        <v>51</v>
      </c>
      <c r="E25" s="13" t="s">
        <v>88</v>
      </c>
      <c r="F25" s="13" t="s">
        <v>51</v>
      </c>
      <c r="G25" s="13" t="s">
        <v>68</v>
      </c>
      <c r="H25" s="13" t="s">
        <v>244</v>
      </c>
      <c r="I25" s="13" t="s">
        <v>100</v>
      </c>
      <c r="J25" s="13" t="s">
        <v>101</v>
      </c>
      <c r="K25" s="13" t="s">
        <v>352</v>
      </c>
      <c r="L25" s="13" t="s">
        <v>353</v>
      </c>
      <c r="M25" s="13" t="s">
        <v>354</v>
      </c>
      <c r="N25" s="13" t="s">
        <v>355</v>
      </c>
      <c r="O25" s="13" t="s">
        <v>248</v>
      </c>
      <c r="P25" s="13" t="s">
        <v>58</v>
      </c>
      <c r="Q25" s="16" t="n">
        <v>4</v>
      </c>
      <c r="R25" s="16" t="n">
        <v>3</v>
      </c>
      <c r="S25" s="16" t="n">
        <v>3</v>
      </c>
      <c r="T25" s="16" t="n">
        <v>2</v>
      </c>
      <c r="U25" s="52" t="n">
        <f aca="false">IF(COUNT(Q25:T25)&lt;4,"",Q25*R25*S25*T25)</f>
        <v>72</v>
      </c>
      <c r="V25" s="16" t="str">
        <f aca="false">IF(U25="","",IF(U25&lt;=Seuil_Faible,"Faible",IF(U25&lt;=Seuil_Moyen,"Moyen",IF(U25&lt;=Seuil_Eleve,"Élevé","Critique"))))</f>
        <v>Moyen</v>
      </c>
      <c r="W25" s="13" t="n">
        <f aca="false">IF(U25="",0,U25+ROW()/100000)</f>
        <v>72.00025</v>
      </c>
    </row>
    <row r="26" customFormat="false" ht="21.75" hidden="false" customHeight="true" outlineLevel="0" collapsed="false">
      <c r="A26" s="16" t="s">
        <v>356</v>
      </c>
      <c r="B26" s="51" t="n">
        <v>46153</v>
      </c>
      <c r="C26" s="13" t="s">
        <v>37</v>
      </c>
      <c r="D26" s="13" t="s">
        <v>38</v>
      </c>
      <c r="E26" s="13" t="s">
        <v>52</v>
      </c>
      <c r="F26" s="13" t="s">
        <v>41</v>
      </c>
      <c r="G26" s="13" t="s">
        <v>42</v>
      </c>
      <c r="H26" s="13" t="s">
        <v>283</v>
      </c>
      <c r="I26" s="13" t="s">
        <v>90</v>
      </c>
      <c r="J26" s="13" t="s">
        <v>91</v>
      </c>
      <c r="K26" s="13" t="s">
        <v>357</v>
      </c>
      <c r="L26" s="13" t="s">
        <v>358</v>
      </c>
      <c r="M26" s="13" t="s">
        <v>359</v>
      </c>
      <c r="N26" s="13" t="s">
        <v>360</v>
      </c>
      <c r="O26" s="13" t="s">
        <v>288</v>
      </c>
      <c r="P26" s="13" t="s">
        <v>126</v>
      </c>
      <c r="Q26" s="16" t="n">
        <v>3</v>
      </c>
      <c r="R26" s="16" t="n">
        <v>4</v>
      </c>
      <c r="S26" s="16" t="n">
        <v>5</v>
      </c>
      <c r="T26" s="16" t="n">
        <v>4</v>
      </c>
      <c r="U26" s="52" t="n">
        <f aca="false">IF(COUNT(Q26:T26)&lt;4,"",Q26*R26*S26*T26)</f>
        <v>240</v>
      </c>
      <c r="V26" s="16" t="str">
        <f aca="false">IF(U26="","",IF(U26&lt;=Seuil_Faible,"Faible",IF(U26&lt;=Seuil_Moyen,"Moyen",IF(U26&lt;=Seuil_Eleve,"Élevé","Critique"))))</f>
        <v>Critique</v>
      </c>
      <c r="W26" s="13" t="n">
        <f aca="false">IF(U26="",0,U26+ROW()/100000)</f>
        <v>240.00026</v>
      </c>
    </row>
    <row r="27" customFormat="false" ht="21.75" hidden="false" customHeight="true" outlineLevel="0" collapsed="false">
      <c r="A27" s="16" t="s">
        <v>361</v>
      </c>
      <c r="B27" s="51" t="n">
        <v>46160</v>
      </c>
      <c r="C27" s="13" t="s">
        <v>50</v>
      </c>
      <c r="D27" s="13" t="s">
        <v>64</v>
      </c>
      <c r="E27" s="13" t="s">
        <v>105</v>
      </c>
      <c r="F27" s="13" t="s">
        <v>64</v>
      </c>
      <c r="G27" s="13" t="s">
        <v>112</v>
      </c>
      <c r="H27" s="13" t="s">
        <v>250</v>
      </c>
      <c r="I27" s="13" t="s">
        <v>113</v>
      </c>
      <c r="J27" s="13" t="s">
        <v>114</v>
      </c>
      <c r="K27" s="13" t="s">
        <v>362</v>
      </c>
      <c r="L27" s="13" t="s">
        <v>363</v>
      </c>
      <c r="M27" s="13" t="s">
        <v>364</v>
      </c>
      <c r="N27" s="13" t="s">
        <v>365</v>
      </c>
      <c r="O27" s="13" t="s">
        <v>366</v>
      </c>
      <c r="P27" s="13" t="s">
        <v>58</v>
      </c>
      <c r="Q27" s="16" t="n">
        <v>4</v>
      </c>
      <c r="R27" s="16" t="n">
        <v>3</v>
      </c>
      <c r="S27" s="16" t="n">
        <v>5</v>
      </c>
      <c r="T27" s="16" t="n">
        <v>2</v>
      </c>
      <c r="U27" s="52" t="n">
        <f aca="false">IF(COUNT(Q27:T27)&lt;4,"",Q27*R27*S27*T27)</f>
        <v>120</v>
      </c>
      <c r="V27" s="16" t="str">
        <f aca="false">IF(U27="","",IF(U27&lt;=Seuil_Faible,"Faible",IF(U27&lt;=Seuil_Moyen,"Moyen",IF(U27&lt;=Seuil_Eleve,"Élevé","Critique"))))</f>
        <v>Moyen</v>
      </c>
      <c r="W27" s="13" t="n">
        <f aca="false">IF(U27="",0,U27+ROW()/100000)</f>
        <v>120.00027</v>
      </c>
    </row>
    <row r="28" customFormat="false" ht="21.75" hidden="false" customHeight="true" outlineLevel="0" collapsed="false">
      <c r="A28" s="16" t="s">
        <v>367</v>
      </c>
      <c r="B28" s="51" t="n">
        <v>46167</v>
      </c>
      <c r="C28" s="13" t="s">
        <v>63</v>
      </c>
      <c r="D28" s="13" t="s">
        <v>38</v>
      </c>
      <c r="E28" s="13" t="s">
        <v>77</v>
      </c>
      <c r="F28" s="13" t="s">
        <v>41</v>
      </c>
      <c r="G28" s="13" t="s">
        <v>123</v>
      </c>
      <c r="H28" s="13" t="s">
        <v>295</v>
      </c>
      <c r="I28" s="13" t="s">
        <v>69</v>
      </c>
      <c r="J28" s="13" t="s">
        <v>70</v>
      </c>
      <c r="K28" s="13" t="s">
        <v>368</v>
      </c>
      <c r="L28" s="13" t="s">
        <v>369</v>
      </c>
      <c r="M28" s="13" t="s">
        <v>370</v>
      </c>
      <c r="N28" s="13" t="s">
        <v>371</v>
      </c>
      <c r="O28" s="13" t="s">
        <v>300</v>
      </c>
      <c r="P28" s="13" t="s">
        <v>45</v>
      </c>
      <c r="Q28" s="16" t="n">
        <v>3</v>
      </c>
      <c r="R28" s="16" t="n">
        <v>3</v>
      </c>
      <c r="S28" s="16" t="n">
        <v>3</v>
      </c>
      <c r="T28" s="16" t="n">
        <v>1</v>
      </c>
      <c r="U28" s="52" t="n">
        <f aca="false">IF(COUNT(Q28:T28)&lt;4,"",Q28*R28*S28*T28)</f>
        <v>27</v>
      </c>
      <c r="V28" s="16" t="str">
        <f aca="false">IF(U28="","",IF(U28&lt;=Seuil_Faible,"Faible",IF(U28&lt;=Seuil_Moyen,"Moyen",IF(U28&lt;=Seuil_Eleve,"Élevé","Critique"))))</f>
        <v>Faible</v>
      </c>
      <c r="W28" s="13" t="n">
        <f aca="false">IF(U28="",0,U28+ROW()/100000)</f>
        <v>27.00028</v>
      </c>
    </row>
    <row r="29" customFormat="false" ht="15" hidden="false" customHeight="true" outlineLevel="0" collapsed="false">
      <c r="A29" s="16" t="s">
        <v>372</v>
      </c>
      <c r="B29" s="51" t="n">
        <v>46174</v>
      </c>
      <c r="C29" s="13" t="s">
        <v>37</v>
      </c>
      <c r="D29" s="13" t="s">
        <v>76</v>
      </c>
      <c r="E29" s="13" t="s">
        <v>117</v>
      </c>
      <c r="F29" s="13" t="s">
        <v>54</v>
      </c>
      <c r="G29" s="13" t="s">
        <v>106</v>
      </c>
      <c r="H29" s="13" t="s">
        <v>373</v>
      </c>
      <c r="I29" s="13" t="s">
        <v>90</v>
      </c>
      <c r="J29" s="13" t="s">
        <v>132</v>
      </c>
      <c r="K29" s="13" t="s">
        <v>374</v>
      </c>
      <c r="L29" s="13" t="s">
        <v>375</v>
      </c>
      <c r="M29" s="13" t="s">
        <v>376</v>
      </c>
      <c r="N29" s="13" t="s">
        <v>377</v>
      </c>
      <c r="O29" s="13" t="s">
        <v>378</v>
      </c>
      <c r="P29" s="13" t="s">
        <v>71</v>
      </c>
      <c r="Q29" s="16" t="n">
        <v>2</v>
      </c>
      <c r="R29" s="16" t="n">
        <v>3</v>
      </c>
      <c r="S29" s="16" t="n">
        <v>4</v>
      </c>
      <c r="T29" s="16" t="n">
        <v>2</v>
      </c>
      <c r="U29" s="52" t="n">
        <f aca="false">IF(COUNT(Q29:T29)&lt;4,"",Q29*R29*S29*T29)</f>
        <v>48</v>
      </c>
      <c r="V29" s="16" t="str">
        <f aca="false">IF(U29="","",IF(U29&lt;=Seuil_Faible,"Faible",IF(U29&lt;=Seuil_Moyen,"Moyen",IF(U29&lt;=Seuil_Eleve,"Élevé","Critique"))))</f>
        <v>Moyen</v>
      </c>
      <c r="W29" s="13" t="n">
        <f aca="false">IF(U29="",0,U29+ROW()/100000)</f>
        <v>48.00029</v>
      </c>
    </row>
  </sheetData>
  <conditionalFormatting sqref="V2:V300">
    <cfRule type="cellIs" priority="2" operator="equal" aboveAverage="0" equalAverage="0" bottom="0" percent="0" rank="0" text="" dxfId="0">
      <formula>"Critique"</formula>
    </cfRule>
    <cfRule type="cellIs" priority="3" operator="equal" aboveAverage="0" equalAverage="0" bottom="0" percent="0" rank="0" text="" dxfId="1">
      <formula>"Élevé"</formula>
    </cfRule>
    <cfRule type="cellIs" priority="4" operator="equal" aboveAverage="0" equalAverage="0" bottom="0" percent="0" rank="0" text="" dxfId="2">
      <formula>"Moyen"</formula>
    </cfRule>
    <cfRule type="cellIs" priority="5" operator="equal" aboveAverage="0" equalAverage="0" bottom="0" percent="0" rank="0" text="" dxfId="3">
      <formula>"Faible"</formula>
    </cfRule>
  </conditionalFormatting>
  <conditionalFormatting sqref="U2:U300">
    <cfRule type="dataBar" priority="6">
      <dataBar showValue="1" minLength="10" maxLength="90">
        <cfvo type="num" val="0"/>
        <cfvo type="num" val="625"/>
        <color rgb="FF2E75B6"/>
      </dataBar>
      <extLst>
        <ext xmlns:x14="http://schemas.microsoft.com/office/spreadsheetml/2009/9/main" uri="{B025F937-C7B1-47D3-B67F-A62EFF666E3E}">
          <x14:id>{F422D6EF-6A82-40D0-BC9E-174958C164D7}</x14:id>
        </ext>
      </extLst>
    </cfRule>
  </conditionalFormatting>
  <conditionalFormatting sqref="Q2:T300">
    <cfRule type="colorScale" priority="7">
      <colorScale>
        <cfvo type="num" val="1"/>
        <cfvo type="num" val="3"/>
        <cfvo type="num" val="5"/>
        <color rgb="FFC6EFCE"/>
        <color rgb="FFFFEB9C"/>
        <color rgb="FFF4B084"/>
      </colorScale>
    </cfRule>
  </conditionalFormatting>
  <dataValidations count="9">
    <dataValidation allowBlank="true" error="Valeur non autorisée : choisissez dans la liste (feuille Paramètres)." errorStyle="stop" operator="between" showDropDown="false" showErrorMessage="true" showInputMessage="false" sqref="C2:C300" type="list">
      <formula1>Liste_Sites</formula1>
      <formula2>0</formula2>
    </dataValidation>
    <dataValidation allowBlank="true" error="Valeur non autorisée : choisissez dans la liste (feuille Paramètres)." errorStyle="stop" operator="between" showDropDown="false" showErrorMessage="true" showInputMessage="false" sqref="D2:D300" type="list">
      <formula1>Liste_Departements</formula1>
      <formula2>0</formula2>
    </dataValidation>
    <dataValidation allowBlank="true" error="Valeur non autorisée : choisissez dans la liste (feuille Paramètres)." errorStyle="stop" operator="between" showDropDown="false" showErrorMessage="true" showInputMessage="false" sqref="E2:E300" type="list">
      <formula1>Liste_Services</formula1>
      <formula2>0</formula2>
    </dataValidation>
    <dataValidation allowBlank="true" error="Valeur non autorisée : choisissez dans la liste (feuille Paramètres)." errorStyle="stop" operator="between" showDropDown="false" showErrorMessage="true" showInputMessage="false" sqref="F2:F300" type="list">
      <formula1>Liste_Processus</formula1>
      <formula2>0</formula2>
    </dataValidation>
    <dataValidation allowBlank="true" error="Valeur non autorisée : choisissez dans la liste (feuille Paramètres)." errorStyle="stop" operator="between" showDropDown="false" showErrorMessage="true" showInputMessage="false" sqref="G2:G300" type="list">
      <formula1>Liste_Activites</formula1>
      <formula2>0</formula2>
    </dataValidation>
    <dataValidation allowBlank="true" error="Valeur non autorisée : choisissez dans la liste (feuille Paramètres)." errorStyle="stop" operator="between" showDropDown="false" showErrorMessage="true" showInputMessage="false" sqref="I2:I300" type="list">
      <formula1>Liste_Familles</formula1>
      <formula2>0</formula2>
    </dataValidation>
    <dataValidation allowBlank="true" error="Valeur non autorisée : choisissez dans la liste (feuille Paramètres)." errorStyle="stop" operator="between" showDropDown="false" showErrorMessage="true" showInputMessage="false" sqref="J2:J300" type="list">
      <formula1>Liste_Dangers</formula1>
      <formula2>0</formula2>
    </dataValidation>
    <dataValidation allowBlank="true" error="Valeur non autorisée : choisissez dans la liste (feuille Paramètres)." errorStyle="stop" operator="between" showDropDown="false" showErrorMessage="true" showInputMessage="false" sqref="P2:P300" type="list">
      <formula1>Liste_Mesures</formula1>
      <formula2>0</formula2>
    </dataValidation>
    <dataValidation allowBlank="true" error="Cotation entre 1 et 5 uniquement." errorStyle="stop" operator="between" showDropDown="false" showErrorMessage="true" showInputMessage="false" sqref="Q2:T300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22D6EF-6A82-40D0-BC9E-174958C164D7}">
            <x14:dataBar minLength="10" maxLength="90" axisPosition="none" gradient="true">
              <x14:cfvo type="num">
                <xm:f>0</xm:f>
              </x14:cfvo>
              <x14:cfvo type="num">
                <xm:f>625</xm:f>
              </x14:cfvo>
              <x14:negativeFillColor rgb="FF2E75B6"/>
              <x14:axisColor rgb="FF000000"/>
            </x14:dataBar>
          </x14:cfRule>
          <xm:sqref>U2:U300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D7D31"/>
    <pageSetUpPr fitToPage="false"/>
  </sheetPr>
  <dimension ref="A1:N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46"/>
    <col collapsed="false" customWidth="true" hidden="false" outlineLevel="0" max="3" min="3" style="1" width="20"/>
    <col collapsed="false" customWidth="true" hidden="false" outlineLevel="0" max="4" min="4" style="1" width="14"/>
    <col collapsed="false" customWidth="true" hidden="false" outlineLevel="0" max="5" min="5" style="1" width="13"/>
    <col collapsed="false" customWidth="true" hidden="false" outlineLevel="0" max="7" min="6" style="1" width="12"/>
    <col collapsed="false" customWidth="true" hidden="false" outlineLevel="0" max="9" min="8" style="1" width="11"/>
    <col collapsed="false" customWidth="true" hidden="false" outlineLevel="0" max="10" min="10" style="1" width="26"/>
    <col collapsed="false" customWidth="true" hidden="false" outlineLevel="0" max="11" min="11" style="1" width="12"/>
    <col collapsed="false" customWidth="true" hidden="false" outlineLevel="0" max="12" min="12" style="1" width="10"/>
    <col collapsed="false" customWidth="true" hidden="false" outlineLevel="0" max="13" min="13" style="1" width="9"/>
    <col collapsed="false" customWidth="true" hidden="false" outlineLevel="0" max="14" min="14" style="1" width="16"/>
  </cols>
  <sheetData>
    <row r="1" customFormat="false" ht="31.5" hidden="false" customHeight="true" outlineLevel="0" collapsed="false">
      <c r="A1" s="50" t="s">
        <v>379</v>
      </c>
      <c r="B1" s="50" t="s">
        <v>380</v>
      </c>
      <c r="C1" s="50" t="s">
        <v>33</v>
      </c>
      <c r="D1" s="50" t="s">
        <v>32</v>
      </c>
      <c r="E1" s="50" t="s">
        <v>34</v>
      </c>
      <c r="F1" s="50" t="s">
        <v>381</v>
      </c>
      <c r="G1" s="50" t="s">
        <v>382</v>
      </c>
      <c r="H1" s="50" t="s">
        <v>35</v>
      </c>
      <c r="I1" s="50" t="s">
        <v>383</v>
      </c>
      <c r="J1" s="50" t="s">
        <v>384</v>
      </c>
      <c r="K1" s="50" t="s">
        <v>385</v>
      </c>
      <c r="L1" s="50" t="s">
        <v>386</v>
      </c>
      <c r="M1" s="50" t="s">
        <v>387</v>
      </c>
      <c r="N1" s="50" t="s">
        <v>388</v>
      </c>
    </row>
    <row r="2" customFormat="false" ht="21.75" hidden="false" customHeight="true" outlineLevel="0" collapsed="false">
      <c r="A2" s="16" t="s">
        <v>223</v>
      </c>
      <c r="B2" s="13" t="s">
        <v>389</v>
      </c>
      <c r="C2" s="16" t="s">
        <v>47</v>
      </c>
      <c r="D2" s="16" t="s">
        <v>116</v>
      </c>
      <c r="E2" s="16" t="s">
        <v>48</v>
      </c>
      <c r="F2" s="51" t="n">
        <v>46042</v>
      </c>
      <c r="G2" s="51" t="n">
        <v>46081</v>
      </c>
      <c r="H2" s="16" t="s">
        <v>86</v>
      </c>
      <c r="I2" s="53" t="n">
        <v>1</v>
      </c>
      <c r="J2" s="13" t="s">
        <v>390</v>
      </c>
      <c r="K2" s="51" t="n">
        <v>46078</v>
      </c>
      <c r="L2" s="16" t="str">
        <f aca="true">IF(OR($H2="Clôturée",$H2="Annulée"),"—",MAX(0,$G2-TODAY()))</f>
        <v>—</v>
      </c>
      <c r="M2" s="54" t="n">
        <f aca="true">IF(OR($H2="Clôturée",$H2="Annulée"),0,MAX(0,TODAY()-$G2))</f>
        <v>0</v>
      </c>
      <c r="N2" s="16" t="str">
        <f aca="false">IF($H2="Clôturée","✔ Clôturée",IF($H2="Annulée","— Annulée",IF($M2&gt;0,"🔴 En retard",IF($L2&lt;=14,"🟠 Échéance proche","🟢 Dans les délais"))))</f>
        <v>✔ Clôturée</v>
      </c>
    </row>
    <row r="3" customFormat="false" ht="21.75" hidden="false" customHeight="true" outlineLevel="0" collapsed="false">
      <c r="A3" s="16" t="s">
        <v>223</v>
      </c>
      <c r="B3" s="13" t="s">
        <v>391</v>
      </c>
      <c r="C3" s="16" t="s">
        <v>104</v>
      </c>
      <c r="D3" s="16" t="s">
        <v>83</v>
      </c>
      <c r="E3" s="16" t="s">
        <v>48</v>
      </c>
      <c r="F3" s="51" t="n">
        <v>46042</v>
      </c>
      <c r="G3" s="51" t="n">
        <v>46068</v>
      </c>
      <c r="H3" s="16" t="s">
        <v>86</v>
      </c>
      <c r="I3" s="53" t="n">
        <v>1</v>
      </c>
      <c r="J3" s="13" t="s">
        <v>392</v>
      </c>
      <c r="K3" s="51" t="n">
        <v>46065</v>
      </c>
      <c r="L3" s="16" t="str">
        <f aca="true">IF(OR($H3="Clôturée",$H3="Annulée"),"—",MAX(0,$G3-TODAY()))</f>
        <v>—</v>
      </c>
      <c r="M3" s="54" t="n">
        <f aca="true">IF(OR($H3="Clôturée",$H3="Annulée"),0,MAX(0,TODAY()-$G3))</f>
        <v>0</v>
      </c>
      <c r="N3" s="16" t="str">
        <f aca="false">IF($H3="Clôturée","✔ Clôturée",IF($H3="Annulée","— Annulée",IF($M3&gt;0,"🔴 En retard",IF($L3&lt;=14,"🟠 Échéance proche","🟢 Dans les délais"))))</f>
        <v>✔ Clôturée</v>
      </c>
    </row>
    <row r="4" customFormat="false" ht="21.75" hidden="false" customHeight="true" outlineLevel="0" collapsed="false">
      <c r="A4" s="16" t="s">
        <v>249</v>
      </c>
      <c r="B4" s="13" t="s">
        <v>393</v>
      </c>
      <c r="C4" s="16" t="s">
        <v>73</v>
      </c>
      <c r="D4" s="16" t="s">
        <v>46</v>
      </c>
      <c r="E4" s="16" t="s">
        <v>48</v>
      </c>
      <c r="F4" s="51" t="n">
        <v>46063</v>
      </c>
      <c r="G4" s="51" t="n">
        <v>46142</v>
      </c>
      <c r="H4" s="16" t="s">
        <v>86</v>
      </c>
      <c r="I4" s="53" t="n">
        <v>1</v>
      </c>
      <c r="J4" s="13" t="s">
        <v>394</v>
      </c>
      <c r="K4" s="51" t="n">
        <v>46140</v>
      </c>
      <c r="L4" s="16" t="str">
        <f aca="true">IF(OR($H4="Clôturée",$H4="Annulée"),"—",MAX(0,$G4-TODAY()))</f>
        <v>—</v>
      </c>
      <c r="M4" s="54" t="n">
        <f aca="true">IF(OR($H4="Clôturée",$H4="Annulée"),0,MAX(0,TODAY()-$G4))</f>
        <v>0</v>
      </c>
      <c r="N4" s="16" t="str">
        <f aca="false">IF($H4="Clôturée","✔ Clôturée",IF($H4="Annulée","— Annulée",IF($M4&gt;0,"🔴 En retard",IF($L4&lt;=14,"🟠 Échéance proche","🟢 Dans les délais"))))</f>
        <v>✔ Clôturée</v>
      </c>
    </row>
    <row r="5" customFormat="false" ht="15" hidden="false" customHeight="true" outlineLevel="0" collapsed="false">
      <c r="A5" s="16" t="s">
        <v>249</v>
      </c>
      <c r="B5" s="13" t="s">
        <v>395</v>
      </c>
      <c r="C5" s="16" t="s">
        <v>73</v>
      </c>
      <c r="D5" s="16" t="s">
        <v>46</v>
      </c>
      <c r="E5" s="16" t="s">
        <v>61</v>
      </c>
      <c r="F5" s="51" t="n">
        <v>46082</v>
      </c>
      <c r="G5" s="51" t="n">
        <v>46173</v>
      </c>
      <c r="H5" s="16" t="s">
        <v>86</v>
      </c>
      <c r="I5" s="53" t="n">
        <v>1</v>
      </c>
      <c r="J5" s="13" t="s">
        <v>396</v>
      </c>
      <c r="K5" s="51" t="n">
        <v>46162</v>
      </c>
      <c r="L5" s="16" t="str">
        <f aca="true">IF(OR($H5="Clôturée",$H5="Annulée"),"—",MAX(0,$G5-TODAY()))</f>
        <v>—</v>
      </c>
      <c r="M5" s="54" t="n">
        <f aca="true">IF(OR($H5="Clôturée",$H5="Annulée"),0,MAX(0,TODAY()-$G5))</f>
        <v>0</v>
      </c>
      <c r="N5" s="16" t="str">
        <f aca="false">IF($H5="Clôturée","✔ Clôturée",IF($H5="Annulée","— Annulée",IF($M5&gt;0,"🔴 En retard",IF($L5&lt;=14,"🟠 Échéance proche","🟢 Dans les délais"))))</f>
        <v>✔ Clôturée</v>
      </c>
    </row>
    <row r="6" customFormat="false" ht="21.75" hidden="false" customHeight="true" outlineLevel="0" collapsed="false">
      <c r="A6" s="16" t="s">
        <v>236</v>
      </c>
      <c r="B6" s="13" t="s">
        <v>397</v>
      </c>
      <c r="C6" s="16" t="s">
        <v>104</v>
      </c>
      <c r="D6" s="16" t="s">
        <v>59</v>
      </c>
      <c r="E6" s="16" t="s">
        <v>48</v>
      </c>
      <c r="F6" s="51" t="n">
        <v>46054</v>
      </c>
      <c r="G6" s="51" t="n">
        <v>46112</v>
      </c>
      <c r="H6" s="16" t="s">
        <v>86</v>
      </c>
      <c r="I6" s="53" t="n">
        <v>1</v>
      </c>
      <c r="J6" s="13" t="s">
        <v>398</v>
      </c>
      <c r="K6" s="51" t="n">
        <v>46111</v>
      </c>
      <c r="L6" s="16" t="str">
        <f aca="true">IF(OR($H6="Clôturée",$H6="Annulée"),"—",MAX(0,$G6-TODAY()))</f>
        <v>—</v>
      </c>
      <c r="M6" s="54" t="n">
        <f aca="true">IF(OR($H6="Clôturée",$H6="Annulée"),0,MAX(0,TODAY()-$G6))</f>
        <v>0</v>
      </c>
      <c r="N6" s="16" t="str">
        <f aca="false">IF($H6="Clôturée","✔ Clôturée",IF($H6="Annulée","— Annulée",IF($M6&gt;0,"🔴 En retard",IF($L6&lt;=14,"🟠 Échéance proche","🟢 Dans les délais"))))</f>
        <v>✔ Clôturée</v>
      </c>
    </row>
    <row r="7" customFormat="false" ht="21.75" hidden="false" customHeight="true" outlineLevel="0" collapsed="false">
      <c r="A7" s="16" t="s">
        <v>211</v>
      </c>
      <c r="B7" s="13" t="s">
        <v>399</v>
      </c>
      <c r="C7" s="16" t="s">
        <v>73</v>
      </c>
      <c r="D7" s="16" t="s">
        <v>59</v>
      </c>
      <c r="E7" s="16" t="s">
        <v>61</v>
      </c>
      <c r="F7" s="51" t="n">
        <v>46054</v>
      </c>
      <c r="G7" s="51" t="n">
        <v>46203</v>
      </c>
      <c r="H7" s="16" t="s">
        <v>62</v>
      </c>
      <c r="I7" s="53" t="n">
        <v>0.7</v>
      </c>
      <c r="J7" s="13" t="s">
        <v>400</v>
      </c>
      <c r="K7" s="51"/>
      <c r="L7" s="16" t="n">
        <f aca="true">IF(OR($H7="Clôturée",$H7="Annulée"),"—",MAX(0,$G7-TODAY()))</f>
        <v>0</v>
      </c>
      <c r="M7" s="54" t="n">
        <f aca="true">IF(OR($H7="Clôturée",$H7="Annulée"),0,MAX(0,TODAY()-$G7))</f>
        <v>3</v>
      </c>
      <c r="N7" s="16" t="str">
        <f aca="false">IF($H7="Clôturée","✔ Clôturée",IF($H7="Annulée","— Annulée",IF($M7&gt;0,"🔴 En retard",IF($L7&lt;=14,"🟠 Échéance proche","🟢 Dans les délais"))))</f>
        <v>🔴 En retard</v>
      </c>
    </row>
    <row r="8" customFormat="false" ht="21.75" hidden="false" customHeight="true" outlineLevel="0" collapsed="false">
      <c r="A8" s="16" t="s">
        <v>218</v>
      </c>
      <c r="B8" s="13" t="s">
        <v>401</v>
      </c>
      <c r="C8" s="16" t="s">
        <v>73</v>
      </c>
      <c r="D8" s="16" t="s">
        <v>59</v>
      </c>
      <c r="E8" s="16" t="s">
        <v>61</v>
      </c>
      <c r="F8" s="51" t="n">
        <v>46082</v>
      </c>
      <c r="G8" s="51" t="n">
        <v>46234</v>
      </c>
      <c r="H8" s="16" t="s">
        <v>62</v>
      </c>
      <c r="I8" s="53" t="n">
        <v>0.45</v>
      </c>
      <c r="J8" s="13" t="s">
        <v>402</v>
      </c>
      <c r="K8" s="51"/>
      <c r="L8" s="16" t="n">
        <f aca="true">IF(OR($H8="Clôturée",$H8="Annulée"),"—",MAX(0,$G8-TODAY()))</f>
        <v>28</v>
      </c>
      <c r="M8" s="54" t="n">
        <f aca="true">IF(OR($H8="Clôturée",$H8="Annulée"),0,MAX(0,TODAY()-$G8))</f>
        <v>0</v>
      </c>
      <c r="N8" s="16" t="str">
        <f aca="false">IF($H8="Clôturée","✔ Clôturée",IF($H8="Annulée","— Annulée",IF($M8&gt;0,"🔴 En retard",IF($L8&lt;=14,"🟠 Échéance proche","🟢 Dans les délais"))))</f>
        <v>🟢 Dans les délais</v>
      </c>
    </row>
    <row r="9" customFormat="false" ht="21.75" hidden="false" customHeight="true" outlineLevel="0" collapsed="false">
      <c r="A9" s="16" t="s">
        <v>270</v>
      </c>
      <c r="B9" s="13" t="s">
        <v>403</v>
      </c>
      <c r="C9" s="16" t="s">
        <v>60</v>
      </c>
      <c r="D9" s="16" t="s">
        <v>72</v>
      </c>
      <c r="E9" s="16" t="s">
        <v>61</v>
      </c>
      <c r="F9" s="51" t="n">
        <v>46096</v>
      </c>
      <c r="G9" s="51" t="n">
        <v>46265</v>
      </c>
      <c r="H9" s="16" t="s">
        <v>62</v>
      </c>
      <c r="I9" s="53" t="n">
        <v>0.3</v>
      </c>
      <c r="J9" s="13" t="s">
        <v>404</v>
      </c>
      <c r="K9" s="51"/>
      <c r="L9" s="16" t="n">
        <f aca="true">IF(OR($H9="Clôturée",$H9="Annulée"),"—",MAX(0,$G9-TODAY()))</f>
        <v>59</v>
      </c>
      <c r="M9" s="54" t="n">
        <f aca="true">IF(OR($H9="Clôturée",$H9="Annulée"),0,MAX(0,TODAY()-$G9))</f>
        <v>0</v>
      </c>
      <c r="N9" s="16" t="str">
        <f aca="false">IF($H9="Clôturée","✔ Clôturée",IF($H9="Annulée","— Annulée",IF($M9&gt;0,"🔴 En retard",IF($L9&lt;=14,"🟠 Échéance proche","🟢 Dans les délais"))))</f>
        <v>🟢 Dans les délais</v>
      </c>
    </row>
    <row r="10" customFormat="false" ht="21.75" hidden="false" customHeight="true" outlineLevel="0" collapsed="false">
      <c r="A10" s="16" t="s">
        <v>289</v>
      </c>
      <c r="B10" s="13" t="s">
        <v>405</v>
      </c>
      <c r="C10" s="16" t="s">
        <v>73</v>
      </c>
      <c r="D10" s="16" t="s">
        <v>59</v>
      </c>
      <c r="E10" s="16" t="s">
        <v>48</v>
      </c>
      <c r="F10" s="51" t="n">
        <v>46091</v>
      </c>
      <c r="G10" s="51" t="n">
        <v>46157</v>
      </c>
      <c r="H10" s="16" t="s">
        <v>75</v>
      </c>
      <c r="I10" s="53" t="n">
        <v>0.6</v>
      </c>
      <c r="J10" s="13" t="s">
        <v>406</v>
      </c>
      <c r="K10" s="51"/>
      <c r="L10" s="16" t="n">
        <f aca="true">IF(OR($H10="Clôturée",$H10="Annulée"),"—",MAX(0,$G10-TODAY()))</f>
        <v>0</v>
      </c>
      <c r="M10" s="54" t="n">
        <f aca="true">IF(OR($H10="Clôturée",$H10="Annulée"),0,MAX(0,TODAY()-$G10))</f>
        <v>49</v>
      </c>
      <c r="N10" s="16" t="str">
        <f aca="false">IF($H10="Clôturée","✔ Clôturée",IF($H10="Annulée","— Annulée",IF($M10&gt;0,"🔴 En retard",IF($L10&lt;=14,"🟠 Échéance proche","🟢 Dans les délais"))))</f>
        <v>🔴 En retard</v>
      </c>
    </row>
    <row r="11" customFormat="false" ht="21.75" hidden="false" customHeight="true" outlineLevel="0" collapsed="false">
      <c r="A11" s="16" t="s">
        <v>282</v>
      </c>
      <c r="B11" s="13" t="s">
        <v>407</v>
      </c>
      <c r="C11" s="16" t="s">
        <v>104</v>
      </c>
      <c r="D11" s="16" t="s">
        <v>93</v>
      </c>
      <c r="E11" s="16" t="s">
        <v>61</v>
      </c>
      <c r="F11" s="51" t="n">
        <v>46113</v>
      </c>
      <c r="G11" s="51" t="n">
        <v>46188</v>
      </c>
      <c r="H11" s="16" t="s">
        <v>75</v>
      </c>
      <c r="I11" s="53" t="n">
        <v>0.5</v>
      </c>
      <c r="J11" s="13" t="s">
        <v>408</v>
      </c>
      <c r="K11" s="51"/>
      <c r="L11" s="16" t="n">
        <f aca="true">IF(OR($H11="Clôturée",$H11="Annulée"),"—",MAX(0,$G11-TODAY()))</f>
        <v>0</v>
      </c>
      <c r="M11" s="54" t="n">
        <f aca="true">IF(OR($H11="Clôturée",$H11="Annulée"),0,MAX(0,TODAY()-$G11))</f>
        <v>18</v>
      </c>
      <c r="N11" s="16" t="str">
        <f aca="false">IF($H11="Clôturée","✔ Clôturée",IF($H11="Annulée","— Annulée",IF($M11&gt;0,"🔴 En retard",IF($L11&lt;=14,"🟠 Échéance proche","🟢 Dans les délais"))))</f>
        <v>🔴 En retard</v>
      </c>
    </row>
    <row r="12" customFormat="false" ht="21.75" hidden="false" customHeight="true" outlineLevel="0" collapsed="false">
      <c r="A12" s="16" t="s">
        <v>329</v>
      </c>
      <c r="B12" s="13" t="s">
        <v>409</v>
      </c>
      <c r="C12" s="16" t="s">
        <v>73</v>
      </c>
      <c r="D12" s="16" t="s">
        <v>103</v>
      </c>
      <c r="E12" s="16" t="s">
        <v>48</v>
      </c>
      <c r="F12" s="51" t="n">
        <v>46127</v>
      </c>
      <c r="G12" s="51" t="n">
        <v>46218</v>
      </c>
      <c r="H12" s="16" t="s">
        <v>62</v>
      </c>
      <c r="I12" s="53" t="n">
        <v>0.55</v>
      </c>
      <c r="J12" s="13" t="s">
        <v>410</v>
      </c>
      <c r="K12" s="51"/>
      <c r="L12" s="16" t="n">
        <f aca="true">IF(OR($H12="Clôturée",$H12="Annulée"),"—",MAX(0,$G12-TODAY()))</f>
        <v>12</v>
      </c>
      <c r="M12" s="54" t="n">
        <f aca="true">IF(OR($H12="Clôturée",$H12="Annulée"),0,MAX(0,TODAY()-$G12))</f>
        <v>0</v>
      </c>
      <c r="N12" s="16" t="str">
        <f aca="false">IF($H12="Clôturée","✔ Clôturée",IF($H12="Annulée","— Annulée",IF($M12&gt;0,"🔴 En retard",IF($L12&lt;=14,"🟠 Échéance proche","🟢 Dans les délais"))))</f>
        <v>🟠 Échéance proche</v>
      </c>
    </row>
    <row r="13" customFormat="false" ht="21.75" hidden="false" customHeight="true" outlineLevel="0" collapsed="false">
      <c r="A13" s="16" t="s">
        <v>334</v>
      </c>
      <c r="B13" s="13" t="s">
        <v>411</v>
      </c>
      <c r="C13" s="16" t="s">
        <v>51</v>
      </c>
      <c r="D13" s="16" t="s">
        <v>110</v>
      </c>
      <c r="E13" s="16" t="s">
        <v>61</v>
      </c>
      <c r="F13" s="51" t="n">
        <v>46132</v>
      </c>
      <c r="G13" s="51" t="n">
        <v>46249</v>
      </c>
      <c r="H13" s="16" t="s">
        <v>62</v>
      </c>
      <c r="I13" s="53" t="n">
        <v>0.4</v>
      </c>
      <c r="J13" s="13" t="s">
        <v>412</v>
      </c>
      <c r="K13" s="51"/>
      <c r="L13" s="16" t="n">
        <f aca="true">IF(OR($H13="Clôturée",$H13="Annulée"),"—",MAX(0,$G13-TODAY()))</f>
        <v>43</v>
      </c>
      <c r="M13" s="54" t="n">
        <f aca="true">IF(OR($H13="Clôturée",$H13="Annulée"),0,MAX(0,TODAY()-$G13))</f>
        <v>0</v>
      </c>
      <c r="N13" s="16" t="str">
        <f aca="false">IF($H13="Clôturée","✔ Clôturée",IF($H13="Annulée","— Annulée",IF($M13&gt;0,"🔴 En retard",IF($L13&lt;=14,"🟠 Échéance proche","🟢 Dans les délais"))))</f>
        <v>🟢 Dans les délais</v>
      </c>
    </row>
    <row r="14" customFormat="false" ht="21.75" hidden="false" customHeight="true" outlineLevel="0" collapsed="false">
      <c r="A14" s="16" t="s">
        <v>339</v>
      </c>
      <c r="B14" s="13" t="s">
        <v>413</v>
      </c>
      <c r="C14" s="16" t="s">
        <v>104</v>
      </c>
      <c r="D14" s="16" t="s">
        <v>83</v>
      </c>
      <c r="E14" s="16" t="s">
        <v>61</v>
      </c>
      <c r="F14" s="51" t="n">
        <v>46143</v>
      </c>
      <c r="G14" s="51" t="n">
        <v>46203</v>
      </c>
      <c r="H14" s="16" t="s">
        <v>62</v>
      </c>
      <c r="I14" s="53" t="n">
        <v>0.8</v>
      </c>
      <c r="J14" s="13" t="s">
        <v>414</v>
      </c>
      <c r="K14" s="51"/>
      <c r="L14" s="16" t="n">
        <f aca="true">IF(OR($H14="Clôturée",$H14="Annulée"),"—",MAX(0,$G14-TODAY()))</f>
        <v>0</v>
      </c>
      <c r="M14" s="54" t="n">
        <f aca="true">IF(OR($H14="Clôturée",$H14="Annulée"),0,MAX(0,TODAY()-$G14))</f>
        <v>3</v>
      </c>
      <c r="N14" s="16" t="str">
        <f aca="false">IF($H14="Clôturée","✔ Clôturée",IF($H14="Annulée","— Annulée",IF($M14&gt;0,"🔴 En retard",IF($L14&lt;=14,"🟠 Échéance proche","🟢 Dans les délais"))))</f>
        <v>🔴 En retard</v>
      </c>
    </row>
    <row r="15" customFormat="false" ht="21.75" hidden="false" customHeight="true" outlineLevel="0" collapsed="false">
      <c r="A15" s="16" t="s">
        <v>243</v>
      </c>
      <c r="B15" s="13" t="s">
        <v>415</v>
      </c>
      <c r="C15" s="16" t="s">
        <v>73</v>
      </c>
      <c r="D15" s="16" t="s">
        <v>103</v>
      </c>
      <c r="E15" s="16" t="s">
        <v>48</v>
      </c>
      <c r="F15" s="51" t="n">
        <v>46082</v>
      </c>
      <c r="G15" s="51" t="n">
        <v>46295</v>
      </c>
      <c r="H15" s="16" t="s">
        <v>62</v>
      </c>
      <c r="I15" s="53" t="n">
        <v>0.35</v>
      </c>
      <c r="J15" s="13" t="s">
        <v>416</v>
      </c>
      <c r="K15" s="51"/>
      <c r="L15" s="16" t="n">
        <f aca="true">IF(OR($H15="Clôturée",$H15="Annulée"),"—",MAX(0,$G15-TODAY()))</f>
        <v>89</v>
      </c>
      <c r="M15" s="54" t="n">
        <f aca="true">IF(OR($H15="Clôturée",$H15="Annulée"),0,MAX(0,TODAY()-$G15))</f>
        <v>0</v>
      </c>
      <c r="N15" s="16" t="str">
        <f aca="false">IF($H15="Clôturée","✔ Clôturée",IF($H15="Annulée","— Annulée",IF($M15&gt;0,"🔴 En retard",IF($L15&lt;=14,"🟠 Échéance proche","🟢 Dans les délais"))))</f>
        <v>🟢 Dans les délais</v>
      </c>
    </row>
    <row r="16" customFormat="false" ht="21.75" hidden="false" customHeight="true" outlineLevel="0" collapsed="false">
      <c r="A16" s="16" t="s">
        <v>344</v>
      </c>
      <c r="B16" s="13" t="s">
        <v>417</v>
      </c>
      <c r="C16" s="16" t="s">
        <v>94</v>
      </c>
      <c r="D16" s="16" t="s">
        <v>116</v>
      </c>
      <c r="E16" s="16" t="s">
        <v>74</v>
      </c>
      <c r="F16" s="51" t="n">
        <v>46152</v>
      </c>
      <c r="G16" s="51" t="n">
        <v>46326</v>
      </c>
      <c r="H16" s="16" t="s">
        <v>62</v>
      </c>
      <c r="I16" s="53" t="n">
        <v>0.2</v>
      </c>
      <c r="J16" s="13" t="s">
        <v>418</v>
      </c>
      <c r="K16" s="51"/>
      <c r="L16" s="16" t="n">
        <f aca="true">IF(OR($H16="Clôturée",$H16="Annulée"),"—",MAX(0,$G16-TODAY()))</f>
        <v>120</v>
      </c>
      <c r="M16" s="54" t="n">
        <f aca="true">IF(OR($H16="Clôturée",$H16="Annulée"),0,MAX(0,TODAY()-$G16))</f>
        <v>0</v>
      </c>
      <c r="N16" s="16" t="str">
        <f aca="false">IF($H16="Clôturée","✔ Clôturée",IF($H16="Annulée","— Annulée",IF($M16&gt;0,"🔴 En retard",IF($L16&lt;=14,"🟠 Échéance proche","🟢 Dans les délais"))))</f>
        <v>🟢 Dans les délais</v>
      </c>
    </row>
    <row r="17" customFormat="false" ht="15" hidden="false" customHeight="true" outlineLevel="0" collapsed="false">
      <c r="A17" s="16" t="s">
        <v>356</v>
      </c>
      <c r="B17" s="13" t="s">
        <v>419</v>
      </c>
      <c r="C17" s="16" t="s">
        <v>104</v>
      </c>
      <c r="D17" s="16" t="s">
        <v>93</v>
      </c>
      <c r="E17" s="16" t="s">
        <v>74</v>
      </c>
      <c r="F17" s="51" t="n">
        <v>46174</v>
      </c>
      <c r="G17" s="51" t="n">
        <v>46280</v>
      </c>
      <c r="H17" s="16" t="s">
        <v>49</v>
      </c>
      <c r="I17" s="53" t="n">
        <v>0</v>
      </c>
      <c r="J17" s="13" t="s">
        <v>420</v>
      </c>
      <c r="K17" s="51"/>
      <c r="L17" s="16" t="n">
        <f aca="true">IF(OR($H17="Clôturée",$H17="Annulée"),"—",MAX(0,$G17-TODAY()))</f>
        <v>74</v>
      </c>
      <c r="M17" s="54" t="n">
        <f aca="true">IF(OR($H17="Clôturée",$H17="Annulée"),0,MAX(0,TODAY()-$G17))</f>
        <v>0</v>
      </c>
      <c r="N17" s="16" t="str">
        <f aca="false">IF($H17="Clôturée","✔ Clôturée",IF($H17="Annulée","— Annulée",IF($M17&gt;0,"🔴 En retard",IF($L17&lt;=14,"🟠 Échéance proche","🟢 Dans les délais"))))</f>
        <v>🟢 Dans les délais</v>
      </c>
    </row>
    <row r="18" customFormat="false" ht="15" hidden="false" customHeight="true" outlineLevel="0" collapsed="false">
      <c r="A18" s="16" t="s">
        <v>361</v>
      </c>
      <c r="B18" s="13" t="s">
        <v>421</v>
      </c>
      <c r="C18" s="16" t="s">
        <v>104</v>
      </c>
      <c r="D18" s="16" t="s">
        <v>46</v>
      </c>
      <c r="E18" s="16" t="s">
        <v>61</v>
      </c>
      <c r="F18" s="51" t="n">
        <v>46174</v>
      </c>
      <c r="G18" s="51" t="n">
        <v>46234</v>
      </c>
      <c r="H18" s="16" t="s">
        <v>49</v>
      </c>
      <c r="I18" s="53" t="n">
        <v>0</v>
      </c>
      <c r="J18" s="13" t="s">
        <v>422</v>
      </c>
      <c r="K18" s="51"/>
      <c r="L18" s="16" t="n">
        <f aca="true">IF(OR($H18="Clôturée",$H18="Annulée"),"—",MAX(0,$G18-TODAY()))</f>
        <v>28</v>
      </c>
      <c r="M18" s="54" t="n">
        <f aca="true">IF(OR($H18="Clôturée",$H18="Annulée"),0,MAX(0,TODAY()-$G18))</f>
        <v>0</v>
      </c>
      <c r="N18" s="16" t="str">
        <f aca="false">IF($H18="Clôturée","✔ Clôturée",IF($H18="Annulée","— Annulée",IF($M18&gt;0,"🔴 En retard",IF($L18&lt;=14,"🟠 Échéance proche","🟢 Dans les délais"))))</f>
        <v>🟢 Dans les délais</v>
      </c>
    </row>
    <row r="19" customFormat="false" ht="15" hidden="false" customHeight="true" outlineLevel="0" collapsed="false">
      <c r="A19" s="16" t="s">
        <v>230</v>
      </c>
      <c r="B19" s="13" t="s">
        <v>423</v>
      </c>
      <c r="C19" s="16" t="s">
        <v>73</v>
      </c>
      <c r="D19" s="16" t="s">
        <v>83</v>
      </c>
      <c r="E19" s="16" t="s">
        <v>74</v>
      </c>
      <c r="F19" s="51" t="n">
        <v>46068</v>
      </c>
      <c r="G19" s="51" t="n">
        <v>46142</v>
      </c>
      <c r="H19" s="16" t="s">
        <v>86</v>
      </c>
      <c r="I19" s="53" t="n">
        <v>1</v>
      </c>
      <c r="J19" s="13" t="s">
        <v>424</v>
      </c>
      <c r="K19" s="51" t="n">
        <v>46134</v>
      </c>
      <c r="L19" s="16" t="str">
        <f aca="true">IF(OR($H19="Clôturée",$H19="Annulée"),"—",MAX(0,$G19-TODAY()))</f>
        <v>—</v>
      </c>
      <c r="M19" s="54" t="n">
        <f aca="true">IF(OR($H19="Clôturée",$H19="Annulée"),0,MAX(0,TODAY()-$G19))</f>
        <v>0</v>
      </c>
      <c r="N19" s="16" t="str">
        <f aca="false">IF($H19="Clôturée","✔ Clôturée",IF($H19="Annulée","— Annulée",IF($M19&gt;0,"🔴 En retard",IF($L19&lt;=14,"🟠 Échéance proche","🟢 Dans les délais"))))</f>
        <v>✔ Clôturée</v>
      </c>
    </row>
  </sheetData>
  <conditionalFormatting sqref="I2:I300">
    <cfRule type="dataBar" priority="2">
      <dataBar showValue="1" minLength="10" maxLength="90">
        <cfvo type="num" val="0"/>
        <cfvo type="num" val="1"/>
        <color rgb="FF70AD47"/>
      </dataBar>
      <extLst>
        <ext xmlns:x14="http://schemas.microsoft.com/office/spreadsheetml/2009/9/main" uri="{B025F937-C7B1-47D3-B67F-A62EFF666E3E}">
          <x14:id>{7B2CF060-7661-48B6-862C-942DB9F16144}</x14:id>
        </ext>
      </extLst>
    </cfRule>
  </conditionalFormatting>
  <conditionalFormatting sqref="H2:H300">
    <cfRule type="cellIs" priority="3" operator="equal" aboveAverage="0" equalAverage="0" bottom="0" percent="0" rank="0" text="" dxfId="3">
      <formula>"Clôturée"</formula>
    </cfRule>
    <cfRule type="cellIs" priority="4" operator="equal" aboveAverage="0" equalAverage="0" bottom="0" percent="0" rank="0" text="" dxfId="21">
      <formula>"En cours"</formula>
    </cfRule>
    <cfRule type="cellIs" priority="5" operator="equal" aboveAverage="0" equalAverage="0" bottom="0" percent="0" rank="0" text="" dxfId="0">
      <formula>"En retard"</formula>
    </cfRule>
    <cfRule type="cellIs" priority="6" operator="equal" aboveAverage="0" equalAverage="0" bottom="0" percent="0" rank="0" text="" dxfId="22">
      <formula>"À faire"</formula>
    </cfRule>
    <cfRule type="cellIs" priority="7" operator="equal" aboveAverage="0" equalAverage="0" bottom="0" percent="0" rank="0" text="" dxfId="23">
      <formula>"Annulée"</formula>
    </cfRule>
  </conditionalFormatting>
  <conditionalFormatting sqref="M2:M300">
    <cfRule type="cellIs" priority="8" operator="greaterThan" aboveAverage="0" equalAverage="0" bottom="0" percent="0" rank="0" text="" dxfId="24">
      <formula>0</formula>
    </cfRule>
  </conditionalFormatting>
  <conditionalFormatting sqref="A2:N300">
    <cfRule type="expression" priority="9" aboveAverage="0" equalAverage="0" bottom="0" percent="0" rank="0" text="" dxfId="25">
      <formula>$H2="En retard"</formula>
    </cfRule>
  </conditionalFormatting>
  <dataValidations count="5">
    <dataValidation allowBlank="true" errorStyle="stop" operator="between" showDropDown="false" showErrorMessage="true" showInputMessage="false" sqref="D2:D300" type="list">
      <formula1>Liste_Responsables</formula1>
      <formula2>0</formula2>
    </dataValidation>
    <dataValidation allowBlank="true" errorStyle="stop" operator="between" showDropDown="false" showErrorMessage="true" showInputMessage="false" sqref="C2:C300" type="list">
      <formula1>Liste_TypesActions</formula1>
      <formula2>0</formula2>
    </dataValidation>
    <dataValidation allowBlank="true" errorStyle="stop" operator="between" showDropDown="false" showErrorMessage="true" showInputMessage="false" sqref="E2:E300" type="list">
      <formula1>Liste_Priorites</formula1>
      <formula2>0</formula2>
    </dataValidation>
    <dataValidation allowBlank="true" errorStyle="stop" operator="between" showDropDown="false" showErrorMessage="true" showInputMessage="false" sqref="H2:H300" type="list">
      <formula1>Liste_Statuts</formula1>
      <formula2>0</formula2>
    </dataValidation>
    <dataValidation allowBlank="true" error="Saisir un pourcentage entre 0% et 100%." errorStyle="stop" operator="between" showDropDown="false" showErrorMessage="true" showInputMessage="false" sqref="I2:I300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B2CF060-7661-48B6-862C-942DB9F16144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70AD47"/>
              <x14:axisColor rgb="FF000000"/>
            </x14:dataBar>
          </x14:cfRule>
          <xm:sqref>I2:I300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0AD47"/>
    <pageSetUpPr fitToPage="false"/>
  </sheetPr>
  <dimension ref="A1:M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30"/>
    <col collapsed="false" customWidth="true" hidden="false" outlineLevel="0" max="3" min="3" style="1" width="17"/>
    <col collapsed="false" customWidth="true" hidden="false" outlineLevel="0" max="5" min="4" style="1" width="11"/>
    <col collapsed="false" customWidth="true" hidden="false" outlineLevel="0" max="6" min="6" style="1" width="10"/>
    <col collapsed="false" customWidth="true" hidden="false" outlineLevel="0" max="7" min="7" style="1" width="11"/>
    <col collapsed="false" customWidth="true" hidden="false" outlineLevel="0" max="9" min="8" style="1" width="10"/>
    <col collapsed="false" customWidth="true" hidden="false" outlineLevel="0" max="11" min="10" style="1" width="11"/>
    <col collapsed="false" customWidth="true" hidden="false" outlineLevel="0" max="12" min="12" style="1" width="9"/>
    <col collapsed="false" customWidth="true" hidden="false" outlineLevel="0" max="13" min="13" style="1" width="11"/>
  </cols>
  <sheetData>
    <row r="1" customFormat="false" ht="31.5" hidden="false" customHeight="true" outlineLevel="0" collapsed="false">
      <c r="A1" s="50" t="s">
        <v>379</v>
      </c>
      <c r="B1" s="50" t="s">
        <v>30</v>
      </c>
      <c r="C1" s="50" t="s">
        <v>25</v>
      </c>
      <c r="D1" s="50" t="s">
        <v>425</v>
      </c>
      <c r="E1" s="50" t="s">
        <v>426</v>
      </c>
      <c r="F1" s="50" t="s">
        <v>427</v>
      </c>
      <c r="G1" s="50" t="s">
        <v>428</v>
      </c>
      <c r="H1" s="50" t="s">
        <v>429</v>
      </c>
      <c r="I1" s="50" t="s">
        <v>430</v>
      </c>
      <c r="J1" s="50" t="s">
        <v>431</v>
      </c>
      <c r="K1" s="50" t="s">
        <v>432</v>
      </c>
      <c r="L1" s="50" t="s">
        <v>433</v>
      </c>
      <c r="M1" s="50" t="s">
        <v>434</v>
      </c>
    </row>
    <row r="2" customFormat="false" ht="15" hidden="false" customHeight="true" outlineLevel="0" collapsed="false">
      <c r="A2" s="16" t="s">
        <v>223</v>
      </c>
      <c r="B2" s="13" t="str">
        <f aca="false">IFERROR(_xlfn.xlookup($A2,'Analyse des risques'!$A$2:$A$29,'Analyse des risques'!$J$2:$J$29,"—"),INDEX('Analyse des risques'!$J$2:$J$29,MATCH($A2,'Analyse des risques'!$A$2:$A$29,0)))</f>
        <v>Atmosphère explosive (ATEX)</v>
      </c>
      <c r="C2" s="13" t="str">
        <f aca="false">IFERROR(_xlfn.xlookup($A2,'Analyse des risques'!$A$2:$A$29,'Analyse des risques'!$E$2:$E$29,"—"),INDEX('Analyse des risques'!$E$2:$E$29,MATCH($A2,'Analyse des risques'!$A$2:$A$29,0)))</f>
        <v>Soudure</v>
      </c>
      <c r="D2" s="16" t="n">
        <f aca="false">IFERROR(_xlfn.xlookup($A2,'Analyse des risques'!$A$2:$A$29,'Analyse des risques'!$U$2:$U$29,0),INDEX('Analyse des risques'!$U$2:$U$29,MATCH($A2,'Analyse des risques'!$A$2:$A$29,0)))</f>
        <v>240</v>
      </c>
      <c r="E2" s="16" t="str">
        <f aca="false">IFERROR(_xlfn.xlookup($A2,'Analyse des risques'!$A$2:$A$29,'Analyse des risques'!$V$2:$V$29,"—"),INDEX('Analyse des risques'!$V$2:$V$29,MATCH($A2,'Analyse des risques'!$A$2:$A$29,0)))</f>
        <v>Critique</v>
      </c>
      <c r="F2" s="16" t="n">
        <v>2</v>
      </c>
      <c r="G2" s="16" t="n">
        <v>2</v>
      </c>
      <c r="H2" s="16" t="n">
        <v>4</v>
      </c>
      <c r="I2" s="16" t="n">
        <v>4</v>
      </c>
      <c r="J2" s="52" t="n">
        <f aca="false">IF(COUNT(F2:I2)&lt;4,"",F2*G2*H2*I2)</f>
        <v>64</v>
      </c>
      <c r="K2" s="16" t="str">
        <f aca="false">IF(J2="","",IF(J2&lt;=Seuil_Faible,"Faible",IF(J2&lt;=Seuil_Moyen,"Moyen",IF(J2&lt;=Seuil_Eleve,"Élevé","Critique"))))</f>
        <v>Moyen</v>
      </c>
      <c r="L2" s="16" t="n">
        <f aca="false">IF(J2="","",D2-J2)</f>
        <v>176</v>
      </c>
      <c r="M2" s="53" t="n">
        <f aca="false">IF(OR(J2="",D2=0),"",(D2-J2)/D2)</f>
        <v>0.733333333333333</v>
      </c>
    </row>
    <row r="3" customFormat="false" ht="15" hidden="false" customHeight="true" outlineLevel="0" collapsed="false">
      <c r="A3" s="16" t="s">
        <v>249</v>
      </c>
      <c r="B3" s="13" t="str">
        <f aca="false">IFERROR(_xlfn.xlookup($A3,'Analyse des risques'!$A$2:$A$29,'Analyse des risques'!$J$2:$J$29,"—"),INDEX('Analyse des risques'!$J$2:$J$29,MATCH($A3,'Analyse des risques'!$A$2:$A$29,0)))</f>
        <v>Circulation de chariots élévateurs</v>
      </c>
      <c r="C3" s="13" t="str">
        <f aca="false">IFERROR(_xlfn.xlookup($A3,'Analyse des risques'!$A$2:$A$29,'Analyse des risques'!$E$2:$E$29,"—"),INDEX('Analyse des risques'!$E$2:$E$29,MATCH($A3,'Analyse des risques'!$A$2:$A$29,0)))</f>
        <v>Magasin</v>
      </c>
      <c r="D3" s="16" t="n">
        <f aca="false">IFERROR(_xlfn.xlookup($A3,'Analyse des risques'!$A$2:$A$29,'Analyse des risques'!$U$2:$U$29,0),INDEX('Analyse des risques'!$U$2:$U$29,MATCH($A3,'Analyse des risques'!$A$2:$A$29,0)))</f>
        <v>400</v>
      </c>
      <c r="E3" s="16" t="str">
        <f aca="false">IFERROR(_xlfn.xlookup($A3,'Analyse des risques'!$A$2:$A$29,'Analyse des risques'!$V$2:$V$29,"—"),INDEX('Analyse des risques'!$V$2:$V$29,MATCH($A3,'Analyse des risques'!$A$2:$A$29,0)))</f>
        <v>Critique</v>
      </c>
      <c r="F3" s="16" t="n">
        <v>3</v>
      </c>
      <c r="G3" s="16" t="n">
        <v>2</v>
      </c>
      <c r="H3" s="16" t="n">
        <v>5</v>
      </c>
      <c r="I3" s="16" t="n">
        <v>4</v>
      </c>
      <c r="J3" s="52" t="n">
        <f aca="false">IF(COUNT(F3:I3)&lt;4,"",F3*G3*H3*I3)</f>
        <v>120</v>
      </c>
      <c r="K3" s="16" t="str">
        <f aca="false">IF(J3="","",IF(J3&lt;=Seuil_Faible,"Faible",IF(J3&lt;=Seuil_Moyen,"Moyen",IF(J3&lt;=Seuil_Eleve,"Élevé","Critique"))))</f>
        <v>Moyen</v>
      </c>
      <c r="L3" s="16" t="n">
        <f aca="false">IF(J3="","",D3-J3)</f>
        <v>280</v>
      </c>
      <c r="M3" s="53" t="n">
        <f aca="false">IF(OR(J3="",D3=0),"",(D3-J3)/D3)</f>
        <v>0.7</v>
      </c>
    </row>
    <row r="4" customFormat="false" ht="21.75" hidden="false" customHeight="true" outlineLevel="0" collapsed="false">
      <c r="A4" s="16" t="s">
        <v>236</v>
      </c>
      <c r="B4" s="13" t="str">
        <f aca="false">IFERROR(_xlfn.xlookup($A4,'Analyse des risques'!$A$2:$A$29,'Analyse des risques'!$J$2:$J$29,"—"),INDEX('Analyse des risques'!$J$2:$J$29,MATCH($A4,'Analyse des risques'!$A$2:$A$29,0)))</f>
        <v>Énergie électrique (armoires, câbles)</v>
      </c>
      <c r="C4" s="13" t="str">
        <f aca="false">IFERROR(_xlfn.xlookup($A4,'Analyse des risques'!$A$2:$A$29,'Analyse des risques'!$E$2:$E$29,"—"),INDEX('Analyse des risques'!$E$2:$E$29,MATCH($A4,'Analyse des risques'!$A$2:$A$29,0)))</f>
        <v>Maintenance électrique</v>
      </c>
      <c r="D4" s="16" t="n">
        <f aca="false">IFERROR(_xlfn.xlookup($A4,'Analyse des risques'!$A$2:$A$29,'Analyse des risques'!$U$2:$U$29,0),INDEX('Analyse des risques'!$U$2:$U$29,MATCH($A4,'Analyse des risques'!$A$2:$A$29,0)))</f>
        <v>90</v>
      </c>
      <c r="E4" s="16" t="str">
        <f aca="false">IFERROR(_xlfn.xlookup($A4,'Analyse des risques'!$A$2:$A$29,'Analyse des risques'!$V$2:$V$29,"—"),INDEX('Analyse des risques'!$V$2:$V$29,MATCH($A4,'Analyse des risques'!$A$2:$A$29,0)))</f>
        <v>Moyen</v>
      </c>
      <c r="F4" s="16" t="n">
        <v>4</v>
      </c>
      <c r="G4" s="16" t="n">
        <v>1</v>
      </c>
      <c r="H4" s="16" t="n">
        <v>3</v>
      </c>
      <c r="I4" s="16" t="n">
        <v>2</v>
      </c>
      <c r="J4" s="52" t="n">
        <f aca="false">IF(COUNT(F4:I4)&lt;4,"",F4*G4*H4*I4)</f>
        <v>24</v>
      </c>
      <c r="K4" s="16" t="str">
        <f aca="false">IF(J4="","",IF(J4&lt;=Seuil_Faible,"Faible",IF(J4&lt;=Seuil_Moyen,"Moyen",IF(J4&lt;=Seuil_Eleve,"Élevé","Critique"))))</f>
        <v>Faible</v>
      </c>
      <c r="L4" s="16" t="n">
        <f aca="false">IF(J4="","",D4-J4)</f>
        <v>66</v>
      </c>
      <c r="M4" s="53" t="n">
        <f aca="false">IF(OR(J4="",D4=0),"",(D4-J4)/D4)</f>
        <v>0.733333333333333</v>
      </c>
    </row>
    <row r="5" customFormat="false" ht="15" hidden="false" customHeight="true" outlineLevel="0" collapsed="false">
      <c r="A5" s="16" t="s">
        <v>211</v>
      </c>
      <c r="B5" s="13" t="str">
        <f aca="false">IFERROR(_xlfn.xlookup($A5,'Analyse des risques'!$A$2:$A$29,'Analyse des risques'!$J$2:$J$29,"—"),INDEX('Analyse des risques'!$J$2:$J$29,MATCH($A5,'Analyse des risques'!$A$2:$A$29,0)))</f>
        <v>Pièces mécaniques en mouvement</v>
      </c>
      <c r="C5" s="13" t="str">
        <f aca="false">IFERROR(_xlfn.xlookup($A5,'Analyse des risques'!$A$2:$A$29,'Analyse des risques'!$E$2:$E$29,"—"),INDEX('Analyse des risques'!$E$2:$E$29,MATCH($A5,'Analyse des risques'!$A$2:$A$29,0)))</f>
        <v>Usinage</v>
      </c>
      <c r="D5" s="16" t="n">
        <f aca="false">IFERROR(_xlfn.xlookup($A5,'Analyse des risques'!$A$2:$A$29,'Analyse des risques'!$U$2:$U$29,0),INDEX('Analyse des risques'!$U$2:$U$29,MATCH($A5,'Analyse des risques'!$A$2:$A$29,0)))</f>
        <v>96</v>
      </c>
      <c r="E5" s="16" t="str">
        <f aca="false">IFERROR(_xlfn.xlookup($A5,'Analyse des risques'!$A$2:$A$29,'Analyse des risques'!$V$2:$V$29,"—"),INDEX('Analyse des risques'!$V$2:$V$29,MATCH($A5,'Analyse des risques'!$A$2:$A$29,0)))</f>
        <v>Moyen</v>
      </c>
      <c r="F5" s="16" t="n">
        <v>3</v>
      </c>
      <c r="G5" s="16" t="n">
        <v>2</v>
      </c>
      <c r="H5" s="16" t="n">
        <v>4</v>
      </c>
      <c r="I5" s="16" t="n">
        <v>2</v>
      </c>
      <c r="J5" s="52" t="n">
        <f aca="false">IF(COUNT(F5:I5)&lt;4,"",F5*G5*H5*I5)</f>
        <v>48</v>
      </c>
      <c r="K5" s="16" t="str">
        <f aca="false">IF(J5="","",IF(J5&lt;=Seuil_Faible,"Faible",IF(J5&lt;=Seuil_Moyen,"Moyen",IF(J5&lt;=Seuil_Eleve,"Élevé","Critique"))))</f>
        <v>Moyen</v>
      </c>
      <c r="L5" s="16" t="n">
        <f aca="false">IF(J5="","",D5-J5)</f>
        <v>48</v>
      </c>
      <c r="M5" s="53" t="n">
        <f aca="false">IF(OR(J5="",D5=0),"",(D5-J5)/D5)</f>
        <v>0.5</v>
      </c>
    </row>
    <row r="6" customFormat="false" ht="15" hidden="false" customHeight="true" outlineLevel="0" collapsed="false">
      <c r="A6" s="16" t="s">
        <v>230</v>
      </c>
      <c r="B6" s="13" t="str">
        <f aca="false">IFERROR(_xlfn.xlookup($A6,'Analyse des risques'!$A$2:$A$29,'Analyse des risques'!$J$2:$J$29,"—"),INDEX('Analyse des risques'!$J$2:$J$29,MATCH($A6,'Analyse des risques'!$A$2:$A$29,0)))</f>
        <v>Rayonnement de soudage (UV)</v>
      </c>
      <c r="C6" s="13" t="str">
        <f aca="false">IFERROR(_xlfn.xlookup($A6,'Analyse des risques'!$A$2:$A$29,'Analyse des risques'!$E$2:$E$29,"—"),INDEX('Analyse des risques'!$E$2:$E$29,MATCH($A6,'Analyse des risques'!$A$2:$A$29,0)))</f>
        <v>Soudure</v>
      </c>
      <c r="D6" s="16" t="n">
        <f aca="false">IFERROR(_xlfn.xlookup($A6,'Analyse des risques'!$A$2:$A$29,'Analyse des risques'!$U$2:$U$29,0),INDEX('Analyse des risques'!$U$2:$U$29,MATCH($A6,'Analyse des risques'!$A$2:$A$29,0)))</f>
        <v>120</v>
      </c>
      <c r="E6" s="16" t="str">
        <f aca="false">IFERROR(_xlfn.xlookup($A6,'Analyse des risques'!$A$2:$A$29,'Analyse des risques'!$V$2:$V$29,"—"),INDEX('Analyse des risques'!$V$2:$V$29,MATCH($A6,'Analyse des risques'!$A$2:$A$29,0)))</f>
        <v>Moyen</v>
      </c>
      <c r="F6" s="16" t="n">
        <v>2</v>
      </c>
      <c r="G6" s="16" t="n">
        <v>2</v>
      </c>
      <c r="H6" s="16" t="n">
        <v>5</v>
      </c>
      <c r="I6" s="16" t="n">
        <v>2</v>
      </c>
      <c r="J6" s="52" t="n">
        <f aca="false">IF(COUNT(F6:I6)&lt;4,"",F6*G6*H6*I6)</f>
        <v>40</v>
      </c>
      <c r="K6" s="16" t="str">
        <f aca="false">IF(J6="","",IF(J6&lt;=Seuil_Faible,"Faible",IF(J6&lt;=Seuil_Moyen,"Moyen",IF(J6&lt;=Seuil_Eleve,"Élevé","Critique"))))</f>
        <v>Moyen</v>
      </c>
      <c r="L6" s="16" t="n">
        <f aca="false">IF(J6="","",D6-J6)</f>
        <v>80</v>
      </c>
      <c r="M6" s="53" t="n">
        <f aca="false">IF(OR(J6="",D6=0),"",(D6-J6)/D6)</f>
        <v>0.666666666666667</v>
      </c>
    </row>
    <row r="7" customFormat="false" ht="15" hidden="false" customHeight="true" outlineLevel="0" collapsed="false">
      <c r="A7" s="16" t="s">
        <v>289</v>
      </c>
      <c r="B7" s="13" t="str">
        <f aca="false">IFERROR(_xlfn.xlookup($A7,'Analyse des risques'!$A$2:$A$29,'Analyse des risques'!$J$2:$J$29,"—"),INDEX('Analyse des risques'!$J$2:$J$29,MATCH($A7,'Analyse des risques'!$A$2:$A$29,0)))</f>
        <v>Pièces mécaniques en mouvement</v>
      </c>
      <c r="C7" s="13" t="str">
        <f aca="false">IFERROR(_xlfn.xlookup($A7,'Analyse des risques'!$A$2:$A$29,'Analyse des risques'!$E$2:$E$29,"—"),INDEX('Analyse des risques'!$E$2:$E$29,MATCH($A7,'Analyse des risques'!$A$2:$A$29,0)))</f>
        <v>Assemblage</v>
      </c>
      <c r="D7" s="16" t="n">
        <f aca="false">IFERROR(_xlfn.xlookup($A7,'Analyse des risques'!$A$2:$A$29,'Analyse des risques'!$U$2:$U$29,0),INDEX('Analyse des risques'!$U$2:$U$29,MATCH($A7,'Analyse des risques'!$A$2:$A$29,0)))</f>
        <v>144</v>
      </c>
      <c r="E7" s="16" t="str">
        <f aca="false">IFERROR(_xlfn.xlookup($A7,'Analyse des risques'!$A$2:$A$29,'Analyse des risques'!$V$2:$V$29,"—"),INDEX('Analyse des risques'!$V$2:$V$29,MATCH($A7,'Analyse des risques'!$A$2:$A$29,0)))</f>
        <v>Élevé</v>
      </c>
      <c r="F7" s="16" t="n">
        <v>3</v>
      </c>
      <c r="G7" s="16" t="n">
        <v>2</v>
      </c>
      <c r="H7" s="16" t="n">
        <v>4</v>
      </c>
      <c r="I7" s="16" t="n">
        <v>3</v>
      </c>
      <c r="J7" s="52" t="n">
        <f aca="false">IF(COUNT(F7:I7)&lt;4,"",F7*G7*H7*I7)</f>
        <v>72</v>
      </c>
      <c r="K7" s="16" t="str">
        <f aca="false">IF(J7="","",IF(J7&lt;=Seuil_Faible,"Faible",IF(J7&lt;=Seuil_Moyen,"Moyen",IF(J7&lt;=Seuil_Eleve,"Élevé","Critique"))))</f>
        <v>Moyen</v>
      </c>
      <c r="L7" s="16" t="n">
        <f aca="false">IF(J7="","",D7-J7)</f>
        <v>72</v>
      </c>
      <c r="M7" s="53" t="n">
        <f aca="false">IF(OR(J7="",D7=0),"",(D7-J7)/D7)</f>
        <v>0.5</v>
      </c>
    </row>
    <row r="8" customFormat="false" ht="15" hidden="false" customHeight="true" outlineLevel="0" collapsed="false">
      <c r="A8" s="16" t="s">
        <v>282</v>
      </c>
      <c r="B8" s="13" t="str">
        <f aca="false">IFERROR(_xlfn.xlookup($A8,'Analyse des risques'!$A$2:$A$29,'Analyse des risques'!$J$2:$J$29,"—"),INDEX('Analyse des risques'!$J$2:$J$29,MATCH($A8,'Analyse des risques'!$A$2:$A$29,0)))</f>
        <v>Manutention de charges lourdes</v>
      </c>
      <c r="C8" s="13" t="str">
        <f aca="false">IFERROR(_xlfn.xlookup($A8,'Analyse des risques'!$A$2:$A$29,'Analyse des risques'!$E$2:$E$29,"—"),INDEX('Analyse des risques'!$E$2:$E$29,MATCH($A8,'Analyse des risques'!$A$2:$A$29,0)))</f>
        <v>Assemblage</v>
      </c>
      <c r="D8" s="16" t="n">
        <f aca="false">IFERROR(_xlfn.xlookup($A8,'Analyse des risques'!$A$2:$A$29,'Analyse des risques'!$U$2:$U$29,0),INDEX('Analyse des risques'!$U$2:$U$29,MATCH($A8,'Analyse des risques'!$A$2:$A$29,0)))</f>
        <v>240</v>
      </c>
      <c r="E8" s="16" t="str">
        <f aca="false">IFERROR(_xlfn.xlookup($A8,'Analyse des risques'!$A$2:$A$29,'Analyse des risques'!$V$2:$V$29,"—"),INDEX('Analyse des risques'!$V$2:$V$29,MATCH($A8,'Analyse des risques'!$A$2:$A$29,0)))</f>
        <v>Critique</v>
      </c>
      <c r="F8" s="16" t="n">
        <v>2</v>
      </c>
      <c r="G8" s="16" t="n">
        <v>3</v>
      </c>
      <c r="H8" s="16" t="n">
        <v>5</v>
      </c>
      <c r="I8" s="16" t="n">
        <v>4</v>
      </c>
      <c r="J8" s="52" t="n">
        <f aca="false">IF(COUNT(F8:I8)&lt;4,"",F8*G8*H8*I8)</f>
        <v>120</v>
      </c>
      <c r="K8" s="16" t="str">
        <f aca="false">IF(J8="","",IF(J8&lt;=Seuil_Faible,"Faible",IF(J8&lt;=Seuil_Moyen,"Moyen",IF(J8&lt;=Seuil_Eleve,"Élevé","Critique"))))</f>
        <v>Moyen</v>
      </c>
      <c r="L8" s="16" t="n">
        <f aca="false">IF(J8="","",D8-J8)</f>
        <v>120</v>
      </c>
      <c r="M8" s="53" t="n">
        <f aca="false">IF(OR(J8="",D8=0),"",(D8-J8)/D8)</f>
        <v>0.5</v>
      </c>
    </row>
    <row r="9" customFormat="false" ht="15" hidden="false" customHeight="true" outlineLevel="0" collapsed="false">
      <c r="A9" s="16" t="s">
        <v>329</v>
      </c>
      <c r="B9" s="13" t="str">
        <f aca="false">IFERROR(_xlfn.xlookup($A9,'Analyse des risques'!$A$2:$A$29,'Analyse des risques'!$J$2:$J$29,"—"),INDEX('Analyse des risques'!$J$2:$J$29,MATCH($A9,'Analyse des risques'!$A$2:$A$29,0)))</f>
        <v>Poussières inhalables</v>
      </c>
      <c r="C9" s="13" t="str">
        <f aca="false">IFERROR(_xlfn.xlookup($A9,'Analyse des risques'!$A$2:$A$29,'Analyse des risques'!$E$2:$E$29,"—"),INDEX('Analyse des risques'!$E$2:$E$29,MATCH($A9,'Analyse des risques'!$A$2:$A$29,0)))</f>
        <v>Usinage</v>
      </c>
      <c r="D9" s="16" t="n">
        <f aca="false">IFERROR(_xlfn.xlookup($A9,'Analyse des risques'!$A$2:$A$29,'Analyse des risques'!$U$2:$U$29,0),INDEX('Analyse des risques'!$U$2:$U$29,MATCH($A9,'Analyse des risques'!$A$2:$A$29,0)))</f>
        <v>180</v>
      </c>
      <c r="E9" s="16" t="str">
        <f aca="false">IFERROR(_xlfn.xlookup($A9,'Analyse des risques'!$A$2:$A$29,'Analyse des risques'!$V$2:$V$29,"—"),INDEX('Analyse des risques'!$V$2:$V$29,MATCH($A9,'Analyse des risques'!$A$2:$A$29,0)))</f>
        <v>Élevé</v>
      </c>
      <c r="F9" s="16" t="n">
        <v>3</v>
      </c>
      <c r="G9" s="16" t="n">
        <v>2</v>
      </c>
      <c r="H9" s="16" t="n">
        <v>5</v>
      </c>
      <c r="I9" s="16" t="n">
        <v>3</v>
      </c>
      <c r="J9" s="52" t="n">
        <f aca="false">IF(COUNT(F9:I9)&lt;4,"",F9*G9*H9*I9)</f>
        <v>90</v>
      </c>
      <c r="K9" s="16" t="str">
        <f aca="false">IF(J9="","",IF(J9&lt;=Seuil_Faible,"Faible",IF(J9&lt;=Seuil_Moyen,"Moyen",IF(J9&lt;=Seuil_Eleve,"Élevé","Critique"))))</f>
        <v>Moyen</v>
      </c>
      <c r="L9" s="16" t="n">
        <f aca="false">IF(J9="","",D9-J9)</f>
        <v>90</v>
      </c>
      <c r="M9" s="53" t="n">
        <f aca="false">IF(OR(J9="",D9=0),"",(D9-J9)/D9)</f>
        <v>0.5</v>
      </c>
    </row>
    <row r="10" customFormat="false" ht="15" hidden="false" customHeight="true" outlineLevel="0" collapsed="false">
      <c r="A10" s="16" t="s">
        <v>339</v>
      </c>
      <c r="B10" s="13" t="str">
        <f aca="false">IFERROR(_xlfn.xlookup($A10,'Analyse des risques'!$A$2:$A$29,'Analyse des risques'!$J$2:$J$29,"—"),INDEX('Analyse des risques'!$J$2:$J$29,MATCH($A10,'Analyse des risques'!$A$2:$A$29,0)))</f>
        <v>Circulation de chariots élévateurs</v>
      </c>
      <c r="C10" s="13" t="str">
        <f aca="false">IFERROR(_xlfn.xlookup($A10,'Analyse des risques'!$A$2:$A$29,'Analyse des risques'!$E$2:$E$29,"—"),INDEX('Analyse des risques'!$E$2:$E$29,MATCH($A10,'Analyse des risques'!$A$2:$A$29,0)))</f>
        <v>Expédition</v>
      </c>
      <c r="D10" s="16" t="n">
        <f aca="false">IFERROR(_xlfn.xlookup($A10,'Analyse des risques'!$A$2:$A$29,'Analyse des risques'!$U$2:$U$29,0),INDEX('Analyse des risques'!$U$2:$U$29,MATCH($A10,'Analyse des risques'!$A$2:$A$29,0)))</f>
        <v>120</v>
      </c>
      <c r="E10" s="16" t="str">
        <f aca="false">IFERROR(_xlfn.xlookup($A10,'Analyse des risques'!$A$2:$A$29,'Analyse des risques'!$V$2:$V$29,"—"),INDEX('Analyse des risques'!$V$2:$V$29,MATCH($A10,'Analyse des risques'!$A$2:$A$29,0)))</f>
        <v>Moyen</v>
      </c>
      <c r="F10" s="16" t="n">
        <v>3</v>
      </c>
      <c r="G10" s="16" t="n">
        <v>2</v>
      </c>
      <c r="H10" s="16" t="n">
        <v>4</v>
      </c>
      <c r="I10" s="16" t="n">
        <v>2</v>
      </c>
      <c r="J10" s="52" t="n">
        <f aca="false">IF(COUNT(F10:I10)&lt;4,"",F10*G10*H10*I10)</f>
        <v>48</v>
      </c>
      <c r="K10" s="16" t="str">
        <f aca="false">IF(J10="","",IF(J10&lt;=Seuil_Faible,"Faible",IF(J10&lt;=Seuil_Moyen,"Moyen",IF(J10&lt;=Seuil_Eleve,"Élevé","Critique"))))</f>
        <v>Moyen</v>
      </c>
      <c r="L10" s="16" t="n">
        <f aca="false">IF(J10="","",D10-J10)</f>
        <v>72</v>
      </c>
      <c r="M10" s="53" t="n">
        <f aca="false">IF(OR(J10="",D10=0),"",(D10-J10)/D10)</f>
        <v>0.6</v>
      </c>
    </row>
    <row r="11" customFormat="false" ht="15" hidden="false" customHeight="true" outlineLevel="0" collapsed="false">
      <c r="A11" s="16" t="s">
        <v>218</v>
      </c>
      <c r="B11" s="13" t="str">
        <f aca="false">IFERROR(_xlfn.xlookup($A11,'Analyse des risques'!$A$2:$A$29,'Analyse des risques'!$J$2:$J$29,"—"),INDEX('Analyse des risques'!$J$2:$J$29,MATCH($A11,'Analyse des risques'!$A$2:$A$29,0)))</f>
        <v>Bruit &gt; 85 dB(A)</v>
      </c>
      <c r="C11" s="13" t="str">
        <f aca="false">IFERROR(_xlfn.xlookup($A11,'Analyse des risques'!$A$2:$A$29,'Analyse des risques'!$E$2:$E$29,"—"),INDEX('Analyse des risques'!$E$2:$E$29,MATCH($A11,'Analyse des risques'!$A$2:$A$29,0)))</f>
        <v>Usinage</v>
      </c>
      <c r="D11" s="16" t="n">
        <f aca="false">IFERROR(_xlfn.xlookup($A11,'Analyse des risques'!$A$2:$A$29,'Analyse des risques'!$U$2:$U$29,0),INDEX('Analyse des risques'!$U$2:$U$29,MATCH($A11,'Analyse des risques'!$A$2:$A$29,0)))</f>
        <v>180</v>
      </c>
      <c r="E11" s="16" t="str">
        <f aca="false">IFERROR(_xlfn.xlookup($A11,'Analyse des risques'!$A$2:$A$29,'Analyse des risques'!$V$2:$V$29,"—"),INDEX('Analyse des risques'!$V$2:$V$29,MATCH($A11,'Analyse des risques'!$A$2:$A$29,0)))</f>
        <v>Élevé</v>
      </c>
      <c r="F11" s="16" t="n">
        <v>3</v>
      </c>
      <c r="G11" s="16" t="n">
        <v>3</v>
      </c>
      <c r="H11" s="16" t="n">
        <v>5</v>
      </c>
      <c r="I11" s="16" t="n">
        <v>3</v>
      </c>
      <c r="J11" s="52" t="n">
        <f aca="false">IF(COUNT(F11:I11)&lt;4,"",F11*G11*H11*I11)</f>
        <v>135</v>
      </c>
      <c r="K11" s="16" t="str">
        <f aca="false">IF(J11="","",IF(J11&lt;=Seuil_Faible,"Faible",IF(J11&lt;=Seuil_Moyen,"Moyen",IF(J11&lt;=Seuil_Eleve,"Élevé","Critique"))))</f>
        <v>Élevé</v>
      </c>
      <c r="L11" s="16" t="n">
        <f aca="false">IF(J11="","",D11-J11)</f>
        <v>45</v>
      </c>
      <c r="M11" s="53" t="n">
        <f aca="false">IF(OR(J11="",D11=0),"",(D11-J11)/D11)</f>
        <v>0.25</v>
      </c>
    </row>
  </sheetData>
  <conditionalFormatting sqref="E2:E300">
    <cfRule type="cellIs" priority="2" operator="equal" aboveAverage="0" equalAverage="0" bottom="0" percent="0" rank="0" text="" dxfId="0">
      <formula>"Critique"</formula>
    </cfRule>
    <cfRule type="cellIs" priority="3" operator="equal" aboveAverage="0" equalAverage="0" bottom="0" percent="0" rank="0" text="" dxfId="1">
      <formula>"Élevé"</formula>
    </cfRule>
    <cfRule type="cellIs" priority="4" operator="equal" aboveAverage="0" equalAverage="0" bottom="0" percent="0" rank="0" text="" dxfId="2">
      <formula>"Moyen"</formula>
    </cfRule>
    <cfRule type="cellIs" priority="5" operator="equal" aboveAverage="0" equalAverage="0" bottom="0" percent="0" rank="0" text="" dxfId="3">
      <formula>"Faible"</formula>
    </cfRule>
  </conditionalFormatting>
  <conditionalFormatting sqref="K2:K300">
    <cfRule type="cellIs" priority="6" operator="equal" aboveAverage="0" equalAverage="0" bottom="0" percent="0" rank="0" text="" dxfId="0">
      <formula>"Critique"</formula>
    </cfRule>
    <cfRule type="cellIs" priority="7" operator="equal" aboveAverage="0" equalAverage="0" bottom="0" percent="0" rank="0" text="" dxfId="1">
      <formula>"Élevé"</formula>
    </cfRule>
    <cfRule type="cellIs" priority="8" operator="equal" aboveAverage="0" equalAverage="0" bottom="0" percent="0" rank="0" text="" dxfId="2">
      <formula>"Moyen"</formula>
    </cfRule>
    <cfRule type="cellIs" priority="9" operator="equal" aboveAverage="0" equalAverage="0" bottom="0" percent="0" rank="0" text="" dxfId="3">
      <formula>"Faible"</formula>
    </cfRule>
  </conditionalFormatting>
  <conditionalFormatting sqref="M2:M300">
    <cfRule type="dataBar" priority="10">
      <dataBar showValue="1" minLength="10" maxLength="90">
        <cfvo type="num" val="0"/>
        <cfvo type="num" val="1"/>
        <color rgb="FF70AD47"/>
      </dataBar>
      <extLst>
        <ext xmlns:x14="http://schemas.microsoft.com/office/spreadsheetml/2009/9/main" uri="{B025F937-C7B1-47D3-B67F-A62EFF666E3E}">
          <x14:id>{50CAFAC5-96B0-44B0-9AC0-C4B5C19BA3C7}</x14:id>
        </ext>
      </extLst>
    </cfRule>
  </conditionalFormatting>
  <dataValidations count="1">
    <dataValidation allowBlank="true" errorStyle="stop" operator="between" showDropDown="false" showErrorMessage="true" showInputMessage="false" sqref="F2:I300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0CAFAC5-96B0-44B0-9AC0-C4B5C19BA3C7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70AD47"/>
              <x14:axisColor rgb="FF000000"/>
            </x14:dataBar>
          </x14:cfRule>
          <xm:sqref>M2:M300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0000"/>
    <pageSetUpPr fitToPage="false"/>
  </sheetPr>
  <dimension ref="B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8"/>
    <col collapsed="false" customWidth="true" hidden="false" outlineLevel="0" max="7" min="3" style="1" width="11"/>
  </cols>
  <sheetData>
    <row r="1" customFormat="false" ht="31.5" hidden="false" customHeight="true" outlineLevel="0" collapsed="false">
      <c r="B1" s="55" t="s">
        <v>435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3" customFormat="false" ht="15" hidden="false" customHeight="true" outlineLevel="0" collapsed="false">
      <c r="B3" s="56" t="s">
        <v>436</v>
      </c>
      <c r="C3" s="56"/>
      <c r="D3" s="56"/>
      <c r="E3" s="56"/>
      <c r="F3" s="56"/>
      <c r="G3" s="56"/>
      <c r="H3" s="56"/>
    </row>
    <row r="4" customFormat="false" ht="15" hidden="false" customHeight="true" outlineLevel="0" collapsed="false">
      <c r="C4" s="57" t="s">
        <v>437</v>
      </c>
    </row>
    <row r="5" customFormat="false" ht="15" hidden="false" customHeight="true" outlineLevel="0" collapsed="false">
      <c r="B5" s="58" t="s">
        <v>438</v>
      </c>
      <c r="C5" s="8" t="s">
        <v>439</v>
      </c>
      <c r="D5" s="8" t="s">
        <v>440</v>
      </c>
      <c r="E5" s="8" t="s">
        <v>441</v>
      </c>
      <c r="F5" s="8" t="s">
        <v>442</v>
      </c>
      <c r="G5" s="8" t="s">
        <v>443</v>
      </c>
    </row>
    <row r="6" customFormat="false" ht="33.75" hidden="false" customHeight="true" outlineLevel="0" collapsed="false">
      <c r="B6" s="8" t="s">
        <v>444</v>
      </c>
      <c r="C6" s="59" t="n">
        <f aca="false">COUNTIFS('Analyse des risques'!$Q$2:$Q$29,5,'Analyse des risques'!$R$2:$R$29,1)</f>
        <v>0</v>
      </c>
      <c r="D6" s="60" t="n">
        <f aca="false">COUNTIFS('Analyse des risques'!$Q$2:$Q$29,5,'Analyse des risques'!$R$2:$R$29,2)</f>
        <v>2</v>
      </c>
      <c r="E6" s="60" t="n">
        <f aca="false">COUNTIFS('Analyse des risques'!$Q$2:$Q$29,5,'Analyse des risques'!$R$2:$R$29,3)</f>
        <v>4</v>
      </c>
      <c r="F6" s="61" t="n">
        <f aca="false">COUNTIFS('Analyse des risques'!$Q$2:$Q$29,5,'Analyse des risques'!$R$2:$R$29,4)</f>
        <v>1</v>
      </c>
      <c r="G6" s="61" t="n">
        <f aca="false">COUNTIFS('Analyse des risques'!$Q$2:$Q$29,5,'Analyse des risques'!$R$2:$R$29,5)</f>
        <v>0</v>
      </c>
    </row>
    <row r="7" customFormat="false" ht="33.75" hidden="false" customHeight="true" outlineLevel="0" collapsed="false">
      <c r="B7" s="8" t="s">
        <v>445</v>
      </c>
      <c r="C7" s="62" t="n">
        <f aca="false">COUNTIFS('Analyse des risques'!$Q$2:$Q$29,4,'Analyse des risques'!$R$2:$R$29,1)</f>
        <v>0</v>
      </c>
      <c r="D7" s="59" t="n">
        <f aca="false">COUNTIFS('Analyse des risques'!$Q$2:$Q$29,4,'Analyse des risques'!$R$2:$R$29,2)</f>
        <v>1</v>
      </c>
      <c r="E7" s="60" t="n">
        <f aca="false">COUNTIFS('Analyse des risques'!$Q$2:$Q$29,4,'Analyse des risques'!$R$2:$R$29,3)</f>
        <v>6</v>
      </c>
      <c r="F7" s="61" t="n">
        <f aca="false">COUNTIFS('Analyse des risques'!$Q$2:$Q$29,4,'Analyse des risques'!$R$2:$R$29,4)</f>
        <v>1</v>
      </c>
      <c r="G7" s="61" t="n">
        <f aca="false">COUNTIFS('Analyse des risques'!$Q$2:$Q$29,4,'Analyse des risques'!$R$2:$R$29,5)</f>
        <v>0</v>
      </c>
    </row>
    <row r="8" customFormat="false" ht="33.75" hidden="false" customHeight="true" outlineLevel="0" collapsed="false">
      <c r="B8" s="8" t="s">
        <v>446</v>
      </c>
      <c r="C8" s="62" t="n">
        <f aca="false">COUNTIFS('Analyse des risques'!$Q$2:$Q$29,3,'Analyse des risques'!$R$2:$R$29,1)</f>
        <v>0</v>
      </c>
      <c r="D8" s="59" t="n">
        <f aca="false">COUNTIFS('Analyse des risques'!$Q$2:$Q$29,3,'Analyse des risques'!$R$2:$R$29,2)</f>
        <v>1</v>
      </c>
      <c r="E8" s="59" t="n">
        <f aca="false">COUNTIFS('Analyse des risques'!$Q$2:$Q$29,3,'Analyse des risques'!$R$2:$R$29,3)</f>
        <v>2</v>
      </c>
      <c r="F8" s="60" t="n">
        <f aca="false">COUNTIFS('Analyse des risques'!$Q$2:$Q$29,3,'Analyse des risques'!$R$2:$R$29,4)</f>
        <v>5</v>
      </c>
      <c r="G8" s="60" t="n">
        <f aca="false">COUNTIFS('Analyse des risques'!$Q$2:$Q$29,3,'Analyse des risques'!$R$2:$R$29,5)</f>
        <v>0</v>
      </c>
    </row>
    <row r="9" customFormat="false" ht="33.75" hidden="false" customHeight="true" outlineLevel="0" collapsed="false">
      <c r="B9" s="8" t="s">
        <v>447</v>
      </c>
      <c r="C9" s="62" t="n">
        <f aca="false">COUNTIFS('Analyse des risques'!$Q$2:$Q$29,2,'Analyse des risques'!$R$2:$R$29,1)</f>
        <v>0</v>
      </c>
      <c r="D9" s="62" t="n">
        <f aca="false">COUNTIFS('Analyse des risques'!$Q$2:$Q$29,2,'Analyse des risques'!$R$2:$R$29,2)</f>
        <v>0</v>
      </c>
      <c r="E9" s="59" t="n">
        <f aca="false">COUNTIFS('Analyse des risques'!$Q$2:$Q$29,2,'Analyse des risques'!$R$2:$R$29,3)</f>
        <v>2</v>
      </c>
      <c r="F9" s="59" t="n">
        <f aca="false">COUNTIFS('Analyse des risques'!$Q$2:$Q$29,2,'Analyse des risques'!$R$2:$R$29,4)</f>
        <v>3</v>
      </c>
      <c r="G9" s="60" t="n">
        <f aca="false">COUNTIFS('Analyse des risques'!$Q$2:$Q$29,2,'Analyse des risques'!$R$2:$R$29,5)</f>
        <v>0</v>
      </c>
    </row>
    <row r="10" customFormat="false" ht="33.75" hidden="false" customHeight="true" outlineLevel="0" collapsed="false">
      <c r="B10" s="8" t="s">
        <v>448</v>
      </c>
      <c r="C10" s="62" t="n">
        <f aca="false">COUNTIFS('Analyse des risques'!$Q$2:$Q$29,1,'Analyse des risques'!$R$2:$R$29,1)</f>
        <v>0</v>
      </c>
      <c r="D10" s="62" t="n">
        <f aca="false">COUNTIFS('Analyse des risques'!$Q$2:$Q$29,1,'Analyse des risques'!$R$2:$R$29,2)</f>
        <v>0</v>
      </c>
      <c r="E10" s="62" t="n">
        <f aca="false">COUNTIFS('Analyse des risques'!$Q$2:$Q$29,1,'Analyse des risques'!$R$2:$R$29,3)</f>
        <v>0</v>
      </c>
      <c r="F10" s="62" t="n">
        <f aca="false">COUNTIFS('Analyse des risques'!$Q$2:$Q$29,1,'Analyse des risques'!$R$2:$R$29,4)</f>
        <v>0</v>
      </c>
      <c r="G10" s="59" t="n">
        <f aca="false">COUNTIFS('Analyse des risques'!$Q$2:$Q$29,1,'Analyse des risques'!$R$2:$R$29,5)</f>
        <v>0</v>
      </c>
    </row>
    <row r="12" customFormat="false" ht="15" hidden="false" customHeight="true" outlineLevel="0" collapsed="false">
      <c r="B12" s="63" t="s">
        <v>449</v>
      </c>
    </row>
    <row r="13" customFormat="false" ht="15" hidden="false" customHeight="true" outlineLevel="0" collapsed="false">
      <c r="B13" s="56" t="s">
        <v>450</v>
      </c>
      <c r="C13" s="56"/>
      <c r="D13" s="56"/>
      <c r="E13" s="56"/>
      <c r="F13" s="56"/>
      <c r="G13" s="56"/>
      <c r="H13" s="56"/>
    </row>
    <row r="14" customFormat="false" ht="15" hidden="false" customHeight="true" outlineLevel="0" collapsed="false">
      <c r="C14" s="57" t="s">
        <v>437</v>
      </c>
    </row>
    <row r="15" customFormat="false" ht="15" hidden="false" customHeight="true" outlineLevel="0" collapsed="false">
      <c r="B15" s="58" t="s">
        <v>438</v>
      </c>
      <c r="C15" s="8" t="s">
        <v>439</v>
      </c>
      <c r="D15" s="8" t="s">
        <v>440</v>
      </c>
      <c r="E15" s="8" t="s">
        <v>441</v>
      </c>
      <c r="F15" s="8" t="s">
        <v>442</v>
      </c>
      <c r="G15" s="8" t="s">
        <v>443</v>
      </c>
    </row>
    <row r="16" customFormat="false" ht="33.75" hidden="false" customHeight="true" outlineLevel="0" collapsed="false">
      <c r="B16" s="8" t="s">
        <v>444</v>
      </c>
      <c r="C16" s="59" t="n">
        <f aca="false">COUNTIFS('Analyse après actions'!$F$2:$F$11,5,'Analyse après actions'!$G$2:$G$11,1)</f>
        <v>0</v>
      </c>
      <c r="D16" s="60" t="n">
        <f aca="false">COUNTIFS('Analyse après actions'!$F$2:$F$11,5,'Analyse après actions'!$G$2:$G$11,2)</f>
        <v>0</v>
      </c>
      <c r="E16" s="60" t="n">
        <f aca="false">COUNTIFS('Analyse après actions'!$F$2:$F$11,5,'Analyse après actions'!$G$2:$G$11,3)</f>
        <v>0</v>
      </c>
      <c r="F16" s="61" t="n">
        <f aca="false">COUNTIFS('Analyse après actions'!$F$2:$F$11,5,'Analyse après actions'!$G$2:$G$11,4)</f>
        <v>0</v>
      </c>
      <c r="G16" s="61" t="n">
        <f aca="false">COUNTIFS('Analyse après actions'!$F$2:$F$11,5,'Analyse après actions'!$G$2:$G$11,5)</f>
        <v>0</v>
      </c>
    </row>
    <row r="17" customFormat="false" ht="33.75" hidden="false" customHeight="true" outlineLevel="0" collapsed="false">
      <c r="B17" s="8" t="s">
        <v>445</v>
      </c>
      <c r="C17" s="62" t="n">
        <f aca="false">COUNTIFS('Analyse après actions'!$F$2:$F$11,4,'Analyse après actions'!$G$2:$G$11,1)</f>
        <v>1</v>
      </c>
      <c r="D17" s="59" t="n">
        <f aca="false">COUNTIFS('Analyse après actions'!$F$2:$F$11,4,'Analyse après actions'!$G$2:$G$11,2)</f>
        <v>0</v>
      </c>
      <c r="E17" s="60" t="n">
        <f aca="false">COUNTIFS('Analyse après actions'!$F$2:$F$11,4,'Analyse après actions'!$G$2:$G$11,3)</f>
        <v>0</v>
      </c>
      <c r="F17" s="61" t="n">
        <f aca="false">COUNTIFS('Analyse après actions'!$F$2:$F$11,4,'Analyse après actions'!$G$2:$G$11,4)</f>
        <v>0</v>
      </c>
      <c r="G17" s="61" t="n">
        <f aca="false">COUNTIFS('Analyse après actions'!$F$2:$F$11,4,'Analyse après actions'!$G$2:$G$11,5)</f>
        <v>0</v>
      </c>
    </row>
    <row r="18" customFormat="false" ht="33.75" hidden="false" customHeight="true" outlineLevel="0" collapsed="false">
      <c r="B18" s="8" t="s">
        <v>446</v>
      </c>
      <c r="C18" s="62" t="n">
        <f aca="false">COUNTIFS('Analyse après actions'!$F$2:$F$11,3,'Analyse après actions'!$G$2:$G$11,1)</f>
        <v>0</v>
      </c>
      <c r="D18" s="59" t="n">
        <f aca="false">COUNTIFS('Analyse après actions'!$F$2:$F$11,3,'Analyse après actions'!$G$2:$G$11,2)</f>
        <v>5</v>
      </c>
      <c r="E18" s="59" t="n">
        <f aca="false">COUNTIFS('Analyse après actions'!$F$2:$F$11,3,'Analyse après actions'!$G$2:$G$11,3)</f>
        <v>1</v>
      </c>
      <c r="F18" s="60" t="n">
        <f aca="false">COUNTIFS('Analyse après actions'!$F$2:$F$11,3,'Analyse après actions'!$G$2:$G$11,4)</f>
        <v>0</v>
      </c>
      <c r="G18" s="60" t="n">
        <f aca="false">COUNTIFS('Analyse après actions'!$F$2:$F$11,3,'Analyse après actions'!$G$2:$G$11,5)</f>
        <v>0</v>
      </c>
    </row>
    <row r="19" customFormat="false" ht="33.75" hidden="false" customHeight="true" outlineLevel="0" collapsed="false">
      <c r="B19" s="8" t="s">
        <v>447</v>
      </c>
      <c r="C19" s="62" t="n">
        <f aca="false">COUNTIFS('Analyse après actions'!$F$2:$F$11,2,'Analyse après actions'!$G$2:$G$11,1)</f>
        <v>0</v>
      </c>
      <c r="D19" s="62" t="n">
        <f aca="false">COUNTIFS('Analyse après actions'!$F$2:$F$11,2,'Analyse après actions'!$G$2:$G$11,2)</f>
        <v>2</v>
      </c>
      <c r="E19" s="59" t="n">
        <f aca="false">COUNTIFS('Analyse après actions'!$F$2:$F$11,2,'Analyse après actions'!$G$2:$G$11,3)</f>
        <v>1</v>
      </c>
      <c r="F19" s="59" t="n">
        <f aca="false">COUNTIFS('Analyse après actions'!$F$2:$F$11,2,'Analyse après actions'!$G$2:$G$11,4)</f>
        <v>0</v>
      </c>
      <c r="G19" s="60" t="n">
        <f aca="false">COUNTIFS('Analyse après actions'!$F$2:$F$11,2,'Analyse après actions'!$G$2:$G$11,5)</f>
        <v>0</v>
      </c>
    </row>
    <row r="20" customFormat="false" ht="33.75" hidden="false" customHeight="true" outlineLevel="0" collapsed="false">
      <c r="B20" s="8" t="s">
        <v>448</v>
      </c>
      <c r="C20" s="62" t="n">
        <f aca="false">COUNTIFS('Analyse après actions'!$F$2:$F$11,1,'Analyse après actions'!$G$2:$G$11,1)</f>
        <v>0</v>
      </c>
      <c r="D20" s="62" t="n">
        <f aca="false">COUNTIFS('Analyse après actions'!$F$2:$F$11,1,'Analyse après actions'!$G$2:$G$11,2)</f>
        <v>0</v>
      </c>
      <c r="E20" s="62" t="n">
        <f aca="false">COUNTIFS('Analyse après actions'!$F$2:$F$11,1,'Analyse après actions'!$G$2:$G$11,3)</f>
        <v>0</v>
      </c>
      <c r="F20" s="62" t="n">
        <f aca="false">COUNTIFS('Analyse après actions'!$F$2:$F$11,1,'Analyse après actions'!$G$2:$G$11,4)</f>
        <v>0</v>
      </c>
      <c r="G20" s="59" t="n">
        <f aca="false">COUNTIFS('Analyse après actions'!$F$2:$F$11,1,'Analyse après actions'!$G$2:$G$11,5)</f>
        <v>0</v>
      </c>
    </row>
    <row r="22" customFormat="false" ht="15" hidden="false" customHeight="true" outlineLevel="0" collapsed="false">
      <c r="B22" s="63" t="s">
        <v>451</v>
      </c>
    </row>
    <row r="23" customFormat="false" ht="15" hidden="false" customHeight="true" outlineLevel="0" collapsed="false">
      <c r="B23" s="64" t="s">
        <v>452</v>
      </c>
    </row>
    <row r="24" customFormat="false" ht="15" hidden="false" customHeight="true" outlineLevel="0" collapsed="false">
      <c r="B24" s="65"/>
      <c r="C24" s="14" t="s">
        <v>453</v>
      </c>
    </row>
    <row r="25" customFormat="false" ht="15" hidden="false" customHeight="true" outlineLevel="0" collapsed="false">
      <c r="B25" s="66"/>
      <c r="C25" s="14" t="s">
        <v>454</v>
      </c>
    </row>
    <row r="26" customFormat="false" ht="15" hidden="false" customHeight="true" outlineLevel="0" collapsed="false">
      <c r="B26" s="67"/>
      <c r="C26" s="14" t="s">
        <v>455</v>
      </c>
    </row>
    <row r="27" customFormat="false" ht="15" hidden="false" customHeight="true" outlineLevel="0" collapsed="false">
      <c r="B27" s="68"/>
      <c r="C27" s="14" t="s">
        <v>456</v>
      </c>
    </row>
    <row r="29" customFormat="false" ht="15" hidden="false" customHeight="true" outlineLevel="0" collapsed="false">
      <c r="B29" s="63" t="s">
        <v>457</v>
      </c>
    </row>
  </sheetData>
  <mergeCells count="3">
    <mergeCell ref="B1:N1"/>
    <mergeCell ref="B3:H3"/>
    <mergeCell ref="B13:H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 t="s">
        <v>458</v>
      </c>
    </row>
    <row r="3" customFormat="false" ht="15" hidden="false" customHeight="true" outlineLevel="0" collapsed="false">
      <c r="A3" s="1" t="s">
        <v>196</v>
      </c>
      <c r="B3" s="1" t="s">
        <v>459</v>
      </c>
      <c r="D3" s="1" t="s">
        <v>25</v>
      </c>
      <c r="E3" s="1" t="s">
        <v>460</v>
      </c>
      <c r="G3" s="1" t="s">
        <v>461</v>
      </c>
      <c r="H3" s="1" t="s">
        <v>459</v>
      </c>
      <c r="J3" s="1" t="s">
        <v>28</v>
      </c>
      <c r="K3" s="1" t="s">
        <v>459</v>
      </c>
      <c r="M3" s="1" t="s">
        <v>35</v>
      </c>
      <c r="N3" s="1" t="s">
        <v>459</v>
      </c>
      <c r="P3" s="1" t="s">
        <v>462</v>
      </c>
      <c r="Q3" s="1" t="s">
        <v>463</v>
      </c>
      <c r="S3" s="1" t="s">
        <v>193</v>
      </c>
      <c r="T3" s="1" t="s">
        <v>464</v>
      </c>
    </row>
    <row r="4" customFormat="false" ht="15" hidden="false" customHeight="true" outlineLevel="0" collapsed="false">
      <c r="A4" s="1" t="s">
        <v>169</v>
      </c>
      <c r="B4" s="1" t="n">
        <f aca="false">COUNTIF('Analyse des risques'!$V$2:$V$29,"Critique")</f>
        <v>4</v>
      </c>
      <c r="D4" s="1" t="s">
        <v>39</v>
      </c>
      <c r="E4" s="1" t="n">
        <f aca="false">COUNTIF('Analyse des risques'!$E$2:$E$29,"Usinage")</f>
        <v>4</v>
      </c>
      <c r="G4" s="1" t="s">
        <v>43</v>
      </c>
      <c r="H4" s="1" t="n">
        <f aca="false">COUNTIF('Analyse des risques'!$I$2:$I$29,"Mécanique")</f>
        <v>5</v>
      </c>
      <c r="J4" s="1" t="s">
        <v>42</v>
      </c>
      <c r="K4" s="1" t="n">
        <f aca="false">COUNTIF('Analyse des risques'!$G$2:$G$29,"Manutention manuelle")</f>
        <v>2</v>
      </c>
      <c r="M4" s="1" t="s">
        <v>49</v>
      </c>
      <c r="N4" s="1" t="n">
        <f aca="false">COUNTIF('Plan d''actions'!$H$2:$H$19,"À faire")</f>
        <v>2</v>
      </c>
      <c r="P4" s="1" t="s">
        <v>465</v>
      </c>
      <c r="Q4" s="1" t="n">
        <f aca="false">SUM('Analyse après actions'!$D$2:$D$11)</f>
        <v>1810</v>
      </c>
      <c r="S4" s="1" t="n">
        <v>1</v>
      </c>
      <c r="T4" s="1" t="n">
        <f aca="false">IFERROR(LARGE('Analyse des risques'!$W$2:$W$29,1),0)</f>
        <v>400.00008</v>
      </c>
    </row>
    <row r="5" customFormat="false" ht="15" hidden="false" customHeight="true" outlineLevel="0" collapsed="false">
      <c r="A5" s="1" t="s">
        <v>167</v>
      </c>
      <c r="B5" s="1" t="n">
        <f aca="false">COUNTIF('Analyse des risques'!$V$2:$V$29,"Élevé")</f>
        <v>6</v>
      </c>
      <c r="D5" s="1" t="s">
        <v>52</v>
      </c>
      <c r="E5" s="1" t="n">
        <f aca="false">COUNTIF('Analyse des risques'!$E$2:$E$29,"Assemblage")</f>
        <v>3</v>
      </c>
      <c r="G5" s="1" t="s">
        <v>56</v>
      </c>
      <c r="H5" s="1" t="n">
        <f aca="false">COUNTIF('Analyse des risques'!$I$2:$I$29,"Électrique")</f>
        <v>2</v>
      </c>
      <c r="J5" s="1" t="s">
        <v>55</v>
      </c>
      <c r="K5" s="1" t="n">
        <f aca="false">COUNTIF('Analyse des risques'!$G$2:$G$29,"Manutention mécanique")</f>
        <v>1</v>
      </c>
      <c r="M5" s="1" t="s">
        <v>62</v>
      </c>
      <c r="N5" s="1" t="n">
        <f aca="false">COUNTIF('Plan d''actions'!$H$2:$H$19,"En cours")</f>
        <v>8</v>
      </c>
      <c r="P5" s="1" t="s">
        <v>466</v>
      </c>
      <c r="Q5" s="1" t="n">
        <f aca="false">SUM('Analyse après actions'!$J$2:$J$11)</f>
        <v>761</v>
      </c>
      <c r="S5" s="1" t="n">
        <v>2</v>
      </c>
      <c r="T5" s="1" t="n">
        <f aca="false">IFERROR(LARGE('Analyse des risques'!$W$2:$W$29,2),0)</f>
        <v>240.00026</v>
      </c>
    </row>
    <row r="6" customFormat="false" ht="15" hidden="false" customHeight="true" outlineLevel="0" collapsed="false">
      <c r="A6" s="1" t="s">
        <v>165</v>
      </c>
      <c r="B6" s="1" t="n">
        <f aca="false">COUNTIF('Analyse des risques'!$V$2:$V$29,"Moyen")</f>
        <v>15</v>
      </c>
      <c r="D6" s="1" t="s">
        <v>65</v>
      </c>
      <c r="E6" s="1" t="n">
        <f aca="false">COUNTIF('Analyse des risques'!$E$2:$E$29,"Soudure")</f>
        <v>3</v>
      </c>
      <c r="G6" s="1" t="s">
        <v>69</v>
      </c>
      <c r="H6" s="1" t="n">
        <f aca="false">COUNTIF('Analyse des risques'!$I$2:$I$29,"Chimique")</f>
        <v>4</v>
      </c>
      <c r="J6" s="1" t="s">
        <v>68</v>
      </c>
      <c r="K6" s="1" t="n">
        <f aca="false">COUNTIF('Analyse des risques'!$G$2:$G$29,"Travail en hauteur")</f>
        <v>2</v>
      </c>
      <c r="M6" s="1" t="s">
        <v>75</v>
      </c>
      <c r="N6" s="1" t="n">
        <f aca="false">COUNTIF('Plan d''actions'!$H$2:$H$19,"En retard")</f>
        <v>2</v>
      </c>
      <c r="S6" s="1" t="n">
        <v>3</v>
      </c>
      <c r="T6" s="1" t="n">
        <f aca="false">IFERROR(LARGE('Analyse des risques'!$W$2:$W$29,3),0)</f>
        <v>240.00013</v>
      </c>
    </row>
    <row r="7" customFormat="false" ht="15" hidden="false" customHeight="true" outlineLevel="0" collapsed="false">
      <c r="A7" s="1" t="s">
        <v>162</v>
      </c>
      <c r="B7" s="1" t="n">
        <f aca="false">COUNTIF('Analyse des risques'!$V$2:$V$29,"Faible")</f>
        <v>3</v>
      </c>
      <c r="D7" s="1" t="s">
        <v>77</v>
      </c>
      <c r="E7" s="1" t="n">
        <f aca="false">COUNTIF('Analyse des risques'!$E$2:$E$29,"Peinture")</f>
        <v>3</v>
      </c>
      <c r="G7" s="1" t="s">
        <v>80</v>
      </c>
      <c r="H7" s="1" t="n">
        <f aca="false">COUNTIF('Analyse des risques'!$I$2:$I$29,"Physique - Bruit / Vibrations")</f>
        <v>2</v>
      </c>
      <c r="J7" s="1" t="s">
        <v>79</v>
      </c>
      <c r="K7" s="1" t="n">
        <f aca="false">COUNTIF('Analyse des risques'!$G$2:$G$29,"Soudage")</f>
        <v>3</v>
      </c>
      <c r="M7" s="1" t="s">
        <v>86</v>
      </c>
      <c r="N7" s="1" t="n">
        <f aca="false">COUNTIF('Plan d''actions'!$H$2:$H$19,"Clôturée")</f>
        <v>6</v>
      </c>
      <c r="S7" s="1" t="n">
        <v>4</v>
      </c>
      <c r="T7" s="1" t="n">
        <f aca="false">IFERROR(LARGE('Analyse des risques'!$W$2:$W$29,4),0)</f>
        <v>240.00004</v>
      </c>
    </row>
    <row r="8" customFormat="false" ht="15" hidden="false" customHeight="true" outlineLevel="0" collapsed="false">
      <c r="D8" s="1" t="s">
        <v>88</v>
      </c>
      <c r="E8" s="1" t="n">
        <f aca="false">COUNTIF('Analyse des risques'!$E$2:$E$29,"Maintenance mécanique")</f>
        <v>3</v>
      </c>
      <c r="G8" s="1" t="s">
        <v>90</v>
      </c>
      <c r="H8" s="1" t="n">
        <f aca="false">COUNTIF('Analyse des risques'!$I$2:$I$29,"Ergonomique")</f>
        <v>4</v>
      </c>
      <c r="J8" s="1" t="s">
        <v>39</v>
      </c>
      <c r="K8" s="1" t="n">
        <f aca="false">COUNTIF('Analyse des risques'!$G$2:$G$29,"Usinage")</f>
        <v>5</v>
      </c>
      <c r="M8" s="1" t="s">
        <v>95</v>
      </c>
      <c r="N8" s="1" t="n">
        <f aca="false">COUNTIF('Plan d''actions'!$H$2:$H$19,"Annulée")</f>
        <v>0</v>
      </c>
      <c r="S8" s="1" t="n">
        <v>5</v>
      </c>
      <c r="T8" s="1" t="n">
        <f aca="false">IFERROR(LARGE('Analyse des risques'!$W$2:$W$29,5),0)</f>
        <v>192.00022</v>
      </c>
    </row>
    <row r="9" customFormat="false" ht="15" hidden="false" customHeight="true" outlineLevel="0" collapsed="false">
      <c r="D9" s="1" t="s">
        <v>97</v>
      </c>
      <c r="E9" s="1" t="n">
        <f aca="false">COUNTIF('Analyse des risques'!$E$2:$E$29,"Maintenance électrique")</f>
        <v>2</v>
      </c>
      <c r="G9" s="1" t="s">
        <v>100</v>
      </c>
      <c r="H9" s="1" t="n">
        <f aca="false">COUNTIF('Analyse des risques'!$I$2:$I$29,"Chute de hauteur")</f>
        <v>2</v>
      </c>
      <c r="J9" s="1" t="s">
        <v>99</v>
      </c>
      <c r="K9" s="1" t="n">
        <f aca="false">COUNTIF('Analyse des risques'!$G$2:$G$29,"Peinture industrielle")</f>
        <v>2</v>
      </c>
      <c r="S9" s="1" t="n">
        <v>6</v>
      </c>
      <c r="T9" s="1" t="n">
        <f aca="false">IFERROR(LARGE('Analyse des risques'!$W$2:$W$29,6),0)</f>
        <v>180.00021</v>
      </c>
    </row>
    <row r="10" customFormat="false" ht="15" hidden="false" customHeight="true" outlineLevel="0" collapsed="false">
      <c r="D10" s="1" t="s">
        <v>105</v>
      </c>
      <c r="E10" s="1" t="n">
        <f aca="false">COUNTIF('Analyse des risques'!$E$2:$E$29,"Magasin")</f>
        <v>3</v>
      </c>
      <c r="G10" s="1" t="s">
        <v>107</v>
      </c>
      <c r="H10" s="1" t="n">
        <f aca="false">COUNTIF('Analyse des risques'!$I$2:$I$29,"Incendie / Explosion")</f>
        <v>2</v>
      </c>
      <c r="J10" s="1" t="s">
        <v>106</v>
      </c>
      <c r="K10" s="1" t="n">
        <f aca="false">COUNTIF('Analyse des risques'!$G$2:$G$29,"Contrôle qualité")</f>
        <v>3</v>
      </c>
      <c r="S10" s="1" t="n">
        <v>7</v>
      </c>
      <c r="T10" s="1" t="n">
        <f aca="false">IFERROR(LARGE('Analyse des risques'!$W$2:$W$29,7),0)</f>
        <v>180.00003</v>
      </c>
    </row>
    <row r="11" customFormat="false" ht="15" hidden="false" customHeight="true" outlineLevel="0" collapsed="false">
      <c r="D11" s="1" t="s">
        <v>111</v>
      </c>
      <c r="E11" s="1" t="n">
        <f aca="false">COUNTIF('Analyse des risques'!$E$2:$E$29,"Expédition")</f>
        <v>2</v>
      </c>
      <c r="G11" s="1" t="s">
        <v>113</v>
      </c>
      <c r="H11" s="1" t="n">
        <f aca="false">COUNTIF('Analyse des risques'!$I$2:$I$29,"Circulation / Engins")</f>
        <v>3</v>
      </c>
      <c r="J11" s="1" t="s">
        <v>112</v>
      </c>
      <c r="K11" s="1" t="n">
        <f aca="false">COUNTIF('Analyse des risques'!$G$2:$G$29,"Conduite d'engins")</f>
        <v>2</v>
      </c>
      <c r="S11" s="1" t="n">
        <v>8</v>
      </c>
      <c r="T11" s="1" t="n">
        <f aca="false">IFERROR(LARGE('Analyse des risques'!$W$2:$W$29,8),0)</f>
        <v>160.00011</v>
      </c>
    </row>
    <row r="12" customFormat="false" ht="15" hidden="false" customHeight="true" outlineLevel="0" collapsed="false">
      <c r="D12" s="1" t="s">
        <v>117</v>
      </c>
      <c r="E12" s="1" t="n">
        <f aca="false">COUNTIF('Analyse des risques'!$E$2:$E$29,"Laboratoire")</f>
        <v>3</v>
      </c>
      <c r="G12" s="1" t="s">
        <v>119</v>
      </c>
      <c r="H12" s="1" t="n">
        <f aca="false">COUNTIF('Analyse des risques'!$I$2:$I$29,"Psychosocial")</f>
        <v>1</v>
      </c>
      <c r="J12" s="1" t="s">
        <v>118</v>
      </c>
      <c r="K12" s="1" t="n">
        <f aca="false">COUNTIF('Analyse des risques'!$G$2:$G$29,"Travaux électriques")</f>
        <v>2</v>
      </c>
      <c r="S12" s="1" t="n">
        <v>9</v>
      </c>
      <c r="T12" s="1" t="n">
        <f aca="false">IFERROR(LARGE('Analyse des risques'!$W$2:$W$29,9),0)</f>
        <v>144.00024</v>
      </c>
    </row>
    <row r="13" customFormat="false" ht="15" hidden="false" customHeight="true" outlineLevel="0" collapsed="false">
      <c r="D13" s="1" t="s">
        <v>122</v>
      </c>
      <c r="E13" s="1" t="n">
        <f aca="false">COUNTIF('Analyse des risques'!$E$2:$E$29,"Ressources Humaines")</f>
        <v>2</v>
      </c>
      <c r="G13" s="1" t="s">
        <v>124</v>
      </c>
      <c r="H13" s="1" t="n">
        <f aca="false">COUNTIF('Analyse des risques'!$I$2:$I$29,"Thermique")</f>
        <v>1</v>
      </c>
      <c r="J13" s="1" t="s">
        <v>123</v>
      </c>
      <c r="K13" s="1" t="n">
        <f aca="false">COUNTIF('Analyse des risques'!$G$2:$G$29,"Nettoyage industriel")</f>
        <v>2</v>
      </c>
      <c r="S13" s="1" t="n">
        <v>10</v>
      </c>
      <c r="T13" s="1" t="n">
        <f aca="false">IFERROR(LARGE('Analyse des risques'!$W$2:$W$29,10),0)</f>
        <v>144.00014</v>
      </c>
    </row>
    <row r="14" customFormat="false" ht="15" hidden="false" customHeight="true" outlineLevel="0" collapsed="false">
      <c r="G14" s="1" t="s">
        <v>128</v>
      </c>
      <c r="H14" s="1" t="n">
        <f aca="false">COUNTIF('Analyse des risques'!$I$2:$I$29,"Biologique")</f>
        <v>1</v>
      </c>
      <c r="J14" s="1" t="s">
        <v>127</v>
      </c>
      <c r="K14" s="1" t="n">
        <f aca="false">COUNTIF('Analyse des risques'!$G$2:$G$29,"Travail administratif")</f>
        <v>2</v>
      </c>
    </row>
    <row r="15" customFormat="false" ht="15" hidden="false" customHeight="true" outlineLevel="0" collapsed="false">
      <c r="G15" s="1" t="s">
        <v>131</v>
      </c>
      <c r="H15" s="1" t="n">
        <f aca="false">COUNTIF('Analyse des risques'!$I$2:$I$29,"Rayonnements")</f>
        <v>1</v>
      </c>
      <c r="J15" s="1" t="s">
        <v>130</v>
      </c>
      <c r="K15" s="1" t="n">
        <f aca="false">COUNTIF('Analyse des risques'!$G$2:$G$29,"Chargement / Déchargement")</f>
        <v>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0AD47"/>
    <pageSetUpPr fitToPage="false"/>
  </sheetPr>
  <dimension ref="B1:H8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6"/>
    <col collapsed="false" customWidth="true" hidden="false" outlineLevel="0" max="3" min="3" style="1" width="12"/>
    <col collapsed="false" customWidth="true" hidden="false" outlineLevel="0" max="4" min="4" style="1" width="14"/>
    <col collapsed="false" customWidth="true" hidden="false" outlineLevel="0" max="7" min="5" style="1" width="11"/>
    <col collapsed="false" customWidth="true" hidden="false" outlineLevel="0" max="8" min="8" style="1" width="13"/>
  </cols>
  <sheetData>
    <row r="1" customFormat="false" ht="30" hidden="false" customHeight="true" outlineLevel="0" collapsed="false">
      <c r="B1" s="55" t="s">
        <v>467</v>
      </c>
      <c r="C1" s="55"/>
      <c r="D1" s="55"/>
      <c r="E1" s="55"/>
      <c r="F1" s="55"/>
      <c r="G1" s="55"/>
      <c r="H1" s="55"/>
    </row>
    <row r="3" customFormat="false" ht="21.75" hidden="false" customHeight="true" outlineLevel="0" collapsed="false">
      <c r="B3" s="69" t="s">
        <v>468</v>
      </c>
      <c r="C3" s="69"/>
      <c r="D3" s="69"/>
      <c r="E3" s="69"/>
      <c r="F3" s="69"/>
      <c r="G3" s="69"/>
      <c r="H3" s="69"/>
    </row>
    <row r="4" customFormat="false" ht="15" hidden="false" customHeight="true" outlineLevel="0" collapsed="false">
      <c r="B4" s="70"/>
      <c r="C4" s="70" t="s">
        <v>460</v>
      </c>
      <c r="D4" s="70" t="s">
        <v>469</v>
      </c>
      <c r="E4" s="70" t="s">
        <v>470</v>
      </c>
      <c r="F4" s="70" t="s">
        <v>471</v>
      </c>
      <c r="G4" s="70" t="s">
        <v>472</v>
      </c>
      <c r="H4" s="70" t="s">
        <v>473</v>
      </c>
    </row>
    <row r="5" customFormat="false" ht="15" hidden="false" customHeight="true" outlineLevel="0" collapsed="false">
      <c r="B5" s="44" t="s">
        <v>39</v>
      </c>
      <c r="C5" s="43" t="n">
        <f aca="false">COUNTIF('Analyse des risques'!$E$2:$E$29,B5)</f>
        <v>4</v>
      </c>
      <c r="D5" s="43" t="n">
        <f aca="false">IFERROR(ROUND(AVERAGEIF('Analyse des risques'!$E$2:$E$29,B5,'Analyse des risques'!$U$2:$U$29),0),"—")</f>
        <v>132</v>
      </c>
      <c r="E5" s="71" t="n">
        <f aca="false">COUNTIFS('Analyse des risques'!$E$2:$E$29,B5,'Analyse des risques'!$V$2:$V$29,"Critique")</f>
        <v>0</v>
      </c>
      <c r="F5" s="43" t="n">
        <f aca="false">COUNTIFS('Analyse des risques'!$E$2:$E$29,B5,'Analyse des risques'!$V$2:$V$29,"Élevé")</f>
        <v>2</v>
      </c>
      <c r="G5" s="43" t="n">
        <f aca="false">COUNTIFS('Analyse des risques'!$E$2:$E$29,B5,'Analyse des risques'!$V$2:$V$29,"Moyen")</f>
        <v>2</v>
      </c>
      <c r="H5" s="43" t="n">
        <f aca="false">COUNTIFS('Analyse des risques'!$E$2:$E$29,B5,'Analyse des risques'!$V$2:$V$29,"Faible")</f>
        <v>0</v>
      </c>
    </row>
    <row r="6" customFormat="false" ht="15" hidden="false" customHeight="true" outlineLevel="0" collapsed="false">
      <c r="B6" s="47" t="s">
        <v>52</v>
      </c>
      <c r="C6" s="46" t="n">
        <f aca="false">COUNTIF('Analyse des risques'!$E$2:$E$29,B6)</f>
        <v>3</v>
      </c>
      <c r="D6" s="46" t="n">
        <f aca="false">IFERROR(ROUND(AVERAGEIF('Analyse des risques'!$E$2:$E$29,B6,'Analyse des risques'!$U$2:$U$29),0),"—")</f>
        <v>208</v>
      </c>
      <c r="E6" s="72" t="n">
        <f aca="false">COUNTIFS('Analyse des risques'!$E$2:$E$29,B6,'Analyse des risques'!$V$2:$V$29,"Critique")</f>
        <v>2</v>
      </c>
      <c r="F6" s="46" t="n">
        <f aca="false">COUNTIFS('Analyse des risques'!$E$2:$E$29,B6,'Analyse des risques'!$V$2:$V$29,"Élevé")</f>
        <v>1</v>
      </c>
      <c r="G6" s="46" t="n">
        <f aca="false">COUNTIFS('Analyse des risques'!$E$2:$E$29,B6,'Analyse des risques'!$V$2:$V$29,"Moyen")</f>
        <v>0</v>
      </c>
      <c r="H6" s="46" t="n">
        <f aca="false">COUNTIFS('Analyse des risques'!$E$2:$E$29,B6,'Analyse des risques'!$V$2:$V$29,"Faible")</f>
        <v>0</v>
      </c>
    </row>
    <row r="7" customFormat="false" ht="15" hidden="false" customHeight="true" outlineLevel="0" collapsed="false">
      <c r="B7" s="44" t="s">
        <v>65</v>
      </c>
      <c r="C7" s="43" t="n">
        <f aca="false">COUNTIF('Analyse des risques'!$E$2:$E$29,B7)</f>
        <v>3</v>
      </c>
      <c r="D7" s="43" t="n">
        <f aca="false">IFERROR(ROUND(AVERAGEIF('Analyse des risques'!$E$2:$E$29,B7,'Analyse des risques'!$U$2:$U$29),0),"—")</f>
        <v>147</v>
      </c>
      <c r="E7" s="71" t="n">
        <f aca="false">COUNTIFS('Analyse des risques'!$E$2:$E$29,B7,'Analyse des risques'!$V$2:$V$29,"Critique")</f>
        <v>1</v>
      </c>
      <c r="F7" s="43" t="n">
        <f aca="false">COUNTIFS('Analyse des risques'!$E$2:$E$29,B7,'Analyse des risques'!$V$2:$V$29,"Élevé")</f>
        <v>0</v>
      </c>
      <c r="G7" s="43" t="n">
        <f aca="false">COUNTIFS('Analyse des risques'!$E$2:$E$29,B7,'Analyse des risques'!$V$2:$V$29,"Moyen")</f>
        <v>2</v>
      </c>
      <c r="H7" s="43" t="n">
        <f aca="false">COUNTIFS('Analyse des risques'!$E$2:$E$29,B7,'Analyse des risques'!$V$2:$V$29,"Faible")</f>
        <v>0</v>
      </c>
    </row>
    <row r="8" customFormat="false" ht="15" hidden="false" customHeight="true" outlineLevel="0" collapsed="false">
      <c r="B8" s="47" t="s">
        <v>77</v>
      </c>
      <c r="C8" s="46" t="n">
        <f aca="false">COUNTIF('Analyse des risques'!$E$2:$E$29,B8)</f>
        <v>3</v>
      </c>
      <c r="D8" s="46" t="n">
        <f aca="false">IFERROR(ROUND(AVERAGEIF('Analyse des risques'!$E$2:$E$29,B8,'Analyse des risques'!$U$2:$U$29),0),"—")</f>
        <v>102</v>
      </c>
      <c r="E8" s="72" t="n">
        <f aca="false">COUNTIFS('Analyse des risques'!$E$2:$E$29,B8,'Analyse des risques'!$V$2:$V$29,"Critique")</f>
        <v>0</v>
      </c>
      <c r="F8" s="46" t="n">
        <f aca="false">COUNTIFS('Analyse des risques'!$E$2:$E$29,B8,'Analyse des risques'!$V$2:$V$29,"Élevé")</f>
        <v>1</v>
      </c>
      <c r="G8" s="46" t="n">
        <f aca="false">COUNTIFS('Analyse des risques'!$E$2:$E$29,B8,'Analyse des risques'!$V$2:$V$29,"Moyen")</f>
        <v>1</v>
      </c>
      <c r="H8" s="46" t="n">
        <f aca="false">COUNTIFS('Analyse des risques'!$E$2:$E$29,B8,'Analyse des risques'!$V$2:$V$29,"Faible")</f>
        <v>1</v>
      </c>
    </row>
    <row r="9" customFormat="false" ht="15" hidden="false" customHeight="true" outlineLevel="0" collapsed="false">
      <c r="B9" s="44" t="s">
        <v>88</v>
      </c>
      <c r="C9" s="43" t="n">
        <f aca="false">COUNTIF('Analyse des risques'!$E$2:$E$29,B9)</f>
        <v>3</v>
      </c>
      <c r="D9" s="43" t="n">
        <f aca="false">IFERROR(ROUND(AVERAGEIF('Analyse des risques'!$E$2:$E$29,B9,'Analyse des risques'!$U$2:$U$29),0),"—")</f>
        <v>65</v>
      </c>
      <c r="E9" s="71" t="n">
        <f aca="false">COUNTIFS('Analyse des risques'!$E$2:$E$29,B9,'Analyse des risques'!$V$2:$V$29,"Critique")</f>
        <v>0</v>
      </c>
      <c r="F9" s="43" t="n">
        <f aca="false">COUNTIFS('Analyse des risques'!$E$2:$E$29,B9,'Analyse des risques'!$V$2:$V$29,"Élevé")</f>
        <v>0</v>
      </c>
      <c r="G9" s="43" t="n">
        <f aca="false">COUNTIFS('Analyse des risques'!$E$2:$E$29,B9,'Analyse des risques'!$V$2:$V$29,"Moyen")</f>
        <v>3</v>
      </c>
      <c r="H9" s="43" t="n">
        <f aca="false">COUNTIFS('Analyse des risques'!$E$2:$E$29,B9,'Analyse des risques'!$V$2:$V$29,"Faible")</f>
        <v>0</v>
      </c>
    </row>
    <row r="10" customFormat="false" ht="15" hidden="false" customHeight="true" outlineLevel="0" collapsed="false">
      <c r="B10" s="47" t="s">
        <v>97</v>
      </c>
      <c r="C10" s="46" t="n">
        <f aca="false">COUNTIF('Analyse des risques'!$E$2:$E$29,B10)</f>
        <v>2</v>
      </c>
      <c r="D10" s="46" t="n">
        <f aca="false">IFERROR(ROUND(AVERAGEIF('Analyse des risques'!$E$2:$E$29,B10,'Analyse des risques'!$U$2:$U$29),0),"—")</f>
        <v>141</v>
      </c>
      <c r="E10" s="72" t="n">
        <f aca="false">COUNTIFS('Analyse des risques'!$E$2:$E$29,B10,'Analyse des risques'!$V$2:$V$29,"Critique")</f>
        <v>0</v>
      </c>
      <c r="F10" s="46" t="n">
        <f aca="false">COUNTIFS('Analyse des risques'!$E$2:$E$29,B10,'Analyse des risques'!$V$2:$V$29,"Élevé")</f>
        <v>1</v>
      </c>
      <c r="G10" s="46" t="n">
        <f aca="false">COUNTIFS('Analyse des risques'!$E$2:$E$29,B10,'Analyse des risques'!$V$2:$V$29,"Moyen")</f>
        <v>1</v>
      </c>
      <c r="H10" s="46" t="n">
        <f aca="false">COUNTIFS('Analyse des risques'!$E$2:$E$29,B10,'Analyse des risques'!$V$2:$V$29,"Faible")</f>
        <v>0</v>
      </c>
    </row>
    <row r="11" customFormat="false" ht="15" hidden="false" customHeight="true" outlineLevel="0" collapsed="false">
      <c r="B11" s="44" t="s">
        <v>105</v>
      </c>
      <c r="C11" s="43" t="n">
        <f aca="false">COUNTIF('Analyse des risques'!$E$2:$E$29,B11)</f>
        <v>3</v>
      </c>
      <c r="D11" s="43" t="n">
        <f aca="false">IFERROR(ROUND(AVERAGEIF('Analyse des risques'!$E$2:$E$29,B11,'Analyse des risques'!$U$2:$U$29),0),"—")</f>
        <v>213</v>
      </c>
      <c r="E11" s="71" t="n">
        <f aca="false">COUNTIFS('Analyse des risques'!$E$2:$E$29,B11,'Analyse des risques'!$V$2:$V$29,"Critique")</f>
        <v>1</v>
      </c>
      <c r="F11" s="43" t="n">
        <f aca="false">COUNTIFS('Analyse des risques'!$E$2:$E$29,B11,'Analyse des risques'!$V$2:$V$29,"Élevé")</f>
        <v>0</v>
      </c>
      <c r="G11" s="43" t="n">
        <f aca="false">COUNTIFS('Analyse des risques'!$E$2:$E$29,B11,'Analyse des risques'!$V$2:$V$29,"Moyen")</f>
        <v>2</v>
      </c>
      <c r="H11" s="43" t="n">
        <f aca="false">COUNTIFS('Analyse des risques'!$E$2:$E$29,B11,'Analyse des risques'!$V$2:$V$29,"Faible")</f>
        <v>0</v>
      </c>
    </row>
    <row r="12" customFormat="false" ht="15" hidden="false" customHeight="true" outlineLevel="0" collapsed="false">
      <c r="B12" s="47" t="s">
        <v>111</v>
      </c>
      <c r="C12" s="46" t="n">
        <f aca="false">COUNTIF('Analyse des risques'!$E$2:$E$29,B12)</f>
        <v>2</v>
      </c>
      <c r="D12" s="46" t="n">
        <f aca="false">IFERROR(ROUND(AVERAGEIF('Analyse des risques'!$E$2:$E$29,B12,'Analyse des risques'!$U$2:$U$29),0),"—")</f>
        <v>120</v>
      </c>
      <c r="E12" s="72" t="n">
        <f aca="false">COUNTIFS('Analyse des risques'!$E$2:$E$29,B12,'Analyse des risques'!$V$2:$V$29,"Critique")</f>
        <v>0</v>
      </c>
      <c r="F12" s="46" t="n">
        <f aca="false">COUNTIFS('Analyse des risques'!$E$2:$E$29,B12,'Analyse des risques'!$V$2:$V$29,"Élevé")</f>
        <v>0</v>
      </c>
      <c r="G12" s="46" t="n">
        <f aca="false">COUNTIFS('Analyse des risques'!$E$2:$E$29,B12,'Analyse des risques'!$V$2:$V$29,"Moyen")</f>
        <v>2</v>
      </c>
      <c r="H12" s="46" t="n">
        <f aca="false">COUNTIFS('Analyse des risques'!$E$2:$E$29,B12,'Analyse des risques'!$V$2:$V$29,"Faible")</f>
        <v>0</v>
      </c>
    </row>
    <row r="13" customFormat="false" ht="15" hidden="false" customHeight="true" outlineLevel="0" collapsed="false">
      <c r="B13" s="44" t="s">
        <v>117</v>
      </c>
      <c r="C13" s="43" t="n">
        <f aca="false">COUNTIF('Analyse des risques'!$E$2:$E$29,B13)</f>
        <v>3</v>
      </c>
      <c r="D13" s="43" t="n">
        <f aca="false">IFERROR(ROUND(AVERAGEIF('Analyse des risques'!$E$2:$E$29,B13,'Analyse des risques'!$U$2:$U$29),0),"—")</f>
        <v>30</v>
      </c>
      <c r="E13" s="71" t="n">
        <f aca="false">COUNTIFS('Analyse des risques'!$E$2:$E$29,B13,'Analyse des risques'!$V$2:$V$29,"Critique")</f>
        <v>0</v>
      </c>
      <c r="F13" s="43" t="n">
        <f aca="false">COUNTIFS('Analyse des risques'!$E$2:$E$29,B13,'Analyse des risques'!$V$2:$V$29,"Élevé")</f>
        <v>0</v>
      </c>
      <c r="G13" s="43" t="n">
        <f aca="false">COUNTIFS('Analyse des risques'!$E$2:$E$29,B13,'Analyse des risques'!$V$2:$V$29,"Moyen")</f>
        <v>1</v>
      </c>
      <c r="H13" s="43" t="n">
        <f aca="false">COUNTIFS('Analyse des risques'!$E$2:$E$29,B13,'Analyse des risques'!$V$2:$V$29,"Faible")</f>
        <v>2</v>
      </c>
    </row>
    <row r="14" customFormat="false" ht="15" hidden="false" customHeight="true" outlineLevel="0" collapsed="false">
      <c r="B14" s="47" t="s">
        <v>122</v>
      </c>
      <c r="C14" s="46" t="n">
        <f aca="false">COUNTIF('Analyse des risques'!$E$2:$E$29,B14)</f>
        <v>2</v>
      </c>
      <c r="D14" s="46" t="n">
        <f aca="false">IFERROR(ROUND(AVERAGEIF('Analyse des risques'!$E$2:$E$29,B14,'Analyse des risques'!$U$2:$U$29),0),"—")</f>
        <v>117</v>
      </c>
      <c r="E14" s="72" t="n">
        <f aca="false">COUNTIFS('Analyse des risques'!$E$2:$E$29,B14,'Analyse des risques'!$V$2:$V$29,"Critique")</f>
        <v>0</v>
      </c>
      <c r="F14" s="46" t="n">
        <f aca="false">COUNTIFS('Analyse des risques'!$E$2:$E$29,B14,'Analyse des risques'!$V$2:$V$29,"Élevé")</f>
        <v>1</v>
      </c>
      <c r="G14" s="46" t="n">
        <f aca="false">COUNTIFS('Analyse des risques'!$E$2:$E$29,B14,'Analyse des risques'!$V$2:$V$29,"Moyen")</f>
        <v>1</v>
      </c>
      <c r="H14" s="46" t="n">
        <f aca="false">COUNTIFS('Analyse des risques'!$E$2:$E$29,B14,'Analyse des risques'!$V$2:$V$29,"Faible")</f>
        <v>0</v>
      </c>
    </row>
    <row r="16" customFormat="false" ht="21.75" hidden="false" customHeight="true" outlineLevel="0" collapsed="false">
      <c r="B16" s="69" t="s">
        <v>474</v>
      </c>
      <c r="C16" s="69"/>
      <c r="D16" s="69"/>
      <c r="E16" s="69"/>
      <c r="F16" s="69"/>
      <c r="G16" s="69"/>
      <c r="H16" s="69"/>
    </row>
    <row r="17" customFormat="false" ht="15" hidden="false" customHeight="true" outlineLevel="0" collapsed="false">
      <c r="B17" s="70"/>
      <c r="C17" s="70" t="s">
        <v>460</v>
      </c>
      <c r="D17" s="70" t="s">
        <v>469</v>
      </c>
      <c r="E17" s="70" t="s">
        <v>470</v>
      </c>
      <c r="F17" s="70" t="s">
        <v>471</v>
      </c>
      <c r="G17" s="70" t="s">
        <v>472</v>
      </c>
      <c r="H17" s="70" t="s">
        <v>473</v>
      </c>
    </row>
    <row r="18" customFormat="false" ht="15" hidden="false" customHeight="true" outlineLevel="0" collapsed="false">
      <c r="B18" s="44" t="s">
        <v>38</v>
      </c>
      <c r="C18" s="71" t="n">
        <f aca="false">COUNTIF('Analyse des risques'!$D$2:$D$29,B18)</f>
        <v>13</v>
      </c>
      <c r="D18" s="43" t="n">
        <f aca="false">IFERROR(ROUND(AVERAGEIF('Analyse des risques'!$D$2:$D$29,B18,'Analyse des risques'!$U$2:$U$29),0),"—")</f>
        <v>146</v>
      </c>
      <c r="E18" s="71" t="n">
        <f aca="false">COUNTIFS('Analyse des risques'!$D$2:$D$29,B18,'Analyse des risques'!$V$2:$V$29,"Critique")</f>
        <v>3</v>
      </c>
      <c r="F18" s="43" t="n">
        <f aca="false">COUNTIFS('Analyse des risques'!$D$2:$D$29,B18,'Analyse des risques'!$V$2:$V$29,"Élevé")</f>
        <v>4</v>
      </c>
      <c r="G18" s="43" t="n">
        <f aca="false">COUNTIFS('Analyse des risques'!$D$2:$D$29,B18,'Analyse des risques'!$V$2:$V$29,"Moyen")</f>
        <v>5</v>
      </c>
      <c r="H18" s="43" t="n">
        <f aca="false">COUNTIFS('Analyse des risques'!$D$2:$D$29,B18,'Analyse des risques'!$V$2:$V$29,"Faible")</f>
        <v>1</v>
      </c>
    </row>
    <row r="19" customFormat="false" ht="15" hidden="false" customHeight="true" outlineLevel="0" collapsed="false">
      <c r="B19" s="47" t="s">
        <v>51</v>
      </c>
      <c r="C19" s="72" t="n">
        <f aca="false">COUNTIF('Analyse des risques'!$D$2:$D$29,B19)</f>
        <v>5</v>
      </c>
      <c r="D19" s="46" t="n">
        <f aca="false">IFERROR(ROUND(AVERAGEIF('Analyse des risques'!$D$2:$D$29,B19,'Analyse des risques'!$U$2:$U$29),0),"—")</f>
        <v>96</v>
      </c>
      <c r="E19" s="72" t="n">
        <f aca="false">COUNTIFS('Analyse des risques'!$D$2:$D$29,B19,'Analyse des risques'!$V$2:$V$29,"Critique")</f>
        <v>0</v>
      </c>
      <c r="F19" s="46" t="n">
        <f aca="false">COUNTIFS('Analyse des risques'!$D$2:$D$29,B19,'Analyse des risques'!$V$2:$V$29,"Élevé")</f>
        <v>1</v>
      </c>
      <c r="G19" s="46" t="n">
        <f aca="false">COUNTIFS('Analyse des risques'!$D$2:$D$29,B19,'Analyse des risques'!$V$2:$V$29,"Moyen")</f>
        <v>4</v>
      </c>
      <c r="H19" s="46" t="n">
        <f aca="false">COUNTIFS('Analyse des risques'!$D$2:$D$29,B19,'Analyse des risques'!$V$2:$V$29,"Faible")</f>
        <v>0</v>
      </c>
    </row>
    <row r="20" customFormat="false" ht="15" hidden="false" customHeight="true" outlineLevel="0" collapsed="false">
      <c r="B20" s="44" t="s">
        <v>64</v>
      </c>
      <c r="C20" s="71" t="n">
        <f aca="false">COUNTIF('Analyse des risques'!$D$2:$D$29,B20)</f>
        <v>5</v>
      </c>
      <c r="D20" s="43" t="n">
        <f aca="false">IFERROR(ROUND(AVERAGEIF('Analyse des risques'!$D$2:$D$29,B20,'Analyse des risques'!$U$2:$U$29),0),"—")</f>
        <v>176</v>
      </c>
      <c r="E20" s="71" t="n">
        <f aca="false">COUNTIFS('Analyse des risques'!$D$2:$D$29,B20,'Analyse des risques'!$V$2:$V$29,"Critique")</f>
        <v>1</v>
      </c>
      <c r="F20" s="43" t="n">
        <f aca="false">COUNTIFS('Analyse des risques'!$D$2:$D$29,B20,'Analyse des risques'!$V$2:$V$29,"Élevé")</f>
        <v>0</v>
      </c>
      <c r="G20" s="43" t="n">
        <f aca="false">COUNTIFS('Analyse des risques'!$D$2:$D$29,B20,'Analyse des risques'!$V$2:$V$29,"Moyen")</f>
        <v>4</v>
      </c>
      <c r="H20" s="43" t="n">
        <f aca="false">COUNTIFS('Analyse des risques'!$D$2:$D$29,B20,'Analyse des risques'!$V$2:$V$29,"Faible")</f>
        <v>0</v>
      </c>
    </row>
    <row r="21" customFormat="false" ht="15" hidden="false" customHeight="true" outlineLevel="0" collapsed="false">
      <c r="B21" s="47" t="s">
        <v>76</v>
      </c>
      <c r="C21" s="72" t="n">
        <f aca="false">COUNTIF('Analyse des risques'!$D$2:$D$29,B21)</f>
        <v>3</v>
      </c>
      <c r="D21" s="46" t="n">
        <f aca="false">IFERROR(ROUND(AVERAGEIF('Analyse des risques'!$D$2:$D$29,B21,'Analyse des risques'!$U$2:$U$29),0),"—")</f>
        <v>30</v>
      </c>
      <c r="E21" s="72" t="n">
        <f aca="false">COUNTIFS('Analyse des risques'!$D$2:$D$29,B21,'Analyse des risques'!$V$2:$V$29,"Critique")</f>
        <v>0</v>
      </c>
      <c r="F21" s="46" t="n">
        <f aca="false">COUNTIFS('Analyse des risques'!$D$2:$D$29,B21,'Analyse des risques'!$V$2:$V$29,"Élevé")</f>
        <v>0</v>
      </c>
      <c r="G21" s="46" t="n">
        <f aca="false">COUNTIFS('Analyse des risques'!$D$2:$D$29,B21,'Analyse des risques'!$V$2:$V$29,"Moyen")</f>
        <v>1</v>
      </c>
      <c r="H21" s="46" t="n">
        <f aca="false">COUNTIFS('Analyse des risques'!$D$2:$D$29,B21,'Analyse des risques'!$V$2:$V$29,"Faible")</f>
        <v>2</v>
      </c>
    </row>
    <row r="22" customFormat="false" ht="15" hidden="false" customHeight="true" outlineLevel="0" collapsed="false">
      <c r="B22" s="44" t="s">
        <v>87</v>
      </c>
      <c r="C22" s="71" t="n">
        <f aca="false">COUNTIF('Analyse des risques'!$D$2:$D$29,B22)</f>
        <v>2</v>
      </c>
      <c r="D22" s="43" t="n">
        <f aca="false">IFERROR(ROUND(AVERAGEIF('Analyse des risques'!$D$2:$D$29,B22,'Analyse des risques'!$U$2:$U$29),0),"—")</f>
        <v>117</v>
      </c>
      <c r="E22" s="71" t="n">
        <f aca="false">COUNTIFS('Analyse des risques'!$D$2:$D$29,B22,'Analyse des risques'!$V$2:$V$29,"Critique")</f>
        <v>0</v>
      </c>
      <c r="F22" s="43" t="n">
        <f aca="false">COUNTIFS('Analyse des risques'!$D$2:$D$29,B22,'Analyse des risques'!$V$2:$V$29,"Élevé")</f>
        <v>1</v>
      </c>
      <c r="G22" s="43" t="n">
        <f aca="false">COUNTIFS('Analyse des risques'!$D$2:$D$29,B22,'Analyse des risques'!$V$2:$V$29,"Moyen")</f>
        <v>1</v>
      </c>
      <c r="H22" s="43" t="n">
        <f aca="false">COUNTIFS('Analyse des risques'!$D$2:$D$29,B22,'Analyse des risques'!$V$2:$V$29,"Faible")</f>
        <v>0</v>
      </c>
    </row>
    <row r="23" customFormat="false" ht="15" hidden="false" customHeight="true" outlineLevel="0" collapsed="false">
      <c r="B23" s="47" t="s">
        <v>96</v>
      </c>
      <c r="C23" s="72" t="n">
        <f aca="false">COUNTIF('Analyse des risques'!$D$2:$D$29,B23)</f>
        <v>0</v>
      </c>
      <c r="D23" s="46" t="str">
        <f aca="false">IFERROR(ROUND(AVERAGEIF('Analyse des risques'!$D$2:$D$29,B23,'Analyse des risques'!$U$2:$U$29),0),"—")</f>
        <v>—</v>
      </c>
      <c r="E23" s="72" t="n">
        <f aca="false">COUNTIFS('Analyse des risques'!$D$2:$D$29,B23,'Analyse des risques'!$V$2:$V$29,"Critique")</f>
        <v>0</v>
      </c>
      <c r="F23" s="46" t="n">
        <f aca="false">COUNTIFS('Analyse des risques'!$D$2:$D$29,B23,'Analyse des risques'!$V$2:$V$29,"Élevé")</f>
        <v>0</v>
      </c>
      <c r="G23" s="46" t="n">
        <f aca="false">COUNTIFS('Analyse des risques'!$D$2:$D$29,B23,'Analyse des risques'!$V$2:$V$29,"Moyen")</f>
        <v>0</v>
      </c>
      <c r="H23" s="46" t="n">
        <f aca="false">COUNTIFS('Analyse des risques'!$D$2:$D$29,B23,'Analyse des risques'!$V$2:$V$29,"Faible")</f>
        <v>0</v>
      </c>
    </row>
    <row r="25" customFormat="false" ht="21.75" hidden="false" customHeight="true" outlineLevel="0" collapsed="false">
      <c r="B25" s="69" t="s">
        <v>475</v>
      </c>
      <c r="C25" s="69"/>
      <c r="D25" s="69"/>
      <c r="E25" s="69"/>
      <c r="F25" s="69"/>
      <c r="G25" s="69"/>
      <c r="H25" s="69"/>
    </row>
    <row r="26" customFormat="false" ht="15" hidden="false" customHeight="true" outlineLevel="0" collapsed="false">
      <c r="B26" s="70"/>
      <c r="C26" s="70" t="s">
        <v>460</v>
      </c>
      <c r="D26" s="70" t="s">
        <v>469</v>
      </c>
      <c r="E26" s="70" t="s">
        <v>470</v>
      </c>
      <c r="F26" s="70" t="s">
        <v>471</v>
      </c>
      <c r="G26" s="70" t="s">
        <v>472</v>
      </c>
      <c r="H26" s="70" t="s">
        <v>473</v>
      </c>
    </row>
    <row r="27" customFormat="false" ht="15" hidden="false" customHeight="true" outlineLevel="0" collapsed="false">
      <c r="B27" s="44" t="s">
        <v>42</v>
      </c>
      <c r="C27" s="71" t="n">
        <f aca="false">COUNTIF('Analyse des risques'!$G$2:$G$29,B27)</f>
        <v>2</v>
      </c>
      <c r="D27" s="43" t="n">
        <f aca="false">IFERROR(ROUND(AVERAGEIF('Analyse des risques'!$G$2:$G$29,B27,'Analyse des risques'!$U$2:$U$29),0),"—")</f>
        <v>240</v>
      </c>
      <c r="E27" s="71" t="n">
        <f aca="false">COUNTIFS('Analyse des risques'!$G$2:$G$29,B27,'Analyse des risques'!$V$2:$V$29,"Critique")</f>
        <v>2</v>
      </c>
      <c r="F27" s="43" t="n">
        <f aca="false">COUNTIFS('Analyse des risques'!$G$2:$G$29,B27,'Analyse des risques'!$V$2:$V$29,"Élevé")</f>
        <v>0</v>
      </c>
      <c r="G27" s="43" t="n">
        <f aca="false">COUNTIFS('Analyse des risques'!$G$2:$G$29,B27,'Analyse des risques'!$V$2:$V$29,"Moyen")</f>
        <v>0</v>
      </c>
      <c r="H27" s="43" t="n">
        <f aca="false">COUNTIFS('Analyse des risques'!$G$2:$G$29,B27,'Analyse des risques'!$V$2:$V$29,"Faible")</f>
        <v>0</v>
      </c>
    </row>
    <row r="28" customFormat="false" ht="15" hidden="false" customHeight="true" outlineLevel="0" collapsed="false">
      <c r="B28" s="47" t="s">
        <v>55</v>
      </c>
      <c r="C28" s="72" t="n">
        <f aca="false">COUNTIF('Analyse des risques'!$G$2:$G$29,B28)</f>
        <v>1</v>
      </c>
      <c r="D28" s="46" t="n">
        <f aca="false">IFERROR(ROUND(AVERAGEIF('Analyse des risques'!$G$2:$G$29,B28,'Analyse des risques'!$U$2:$U$29),0),"—")</f>
        <v>120</v>
      </c>
      <c r="E28" s="72" t="n">
        <f aca="false">COUNTIFS('Analyse des risques'!$G$2:$G$29,B28,'Analyse des risques'!$V$2:$V$29,"Critique")</f>
        <v>0</v>
      </c>
      <c r="F28" s="46" t="n">
        <f aca="false">COUNTIFS('Analyse des risques'!$G$2:$G$29,B28,'Analyse des risques'!$V$2:$V$29,"Élevé")</f>
        <v>0</v>
      </c>
      <c r="G28" s="46" t="n">
        <f aca="false">COUNTIFS('Analyse des risques'!$G$2:$G$29,B28,'Analyse des risques'!$V$2:$V$29,"Moyen")</f>
        <v>1</v>
      </c>
      <c r="H28" s="46" t="n">
        <f aca="false">COUNTIFS('Analyse des risques'!$G$2:$G$29,B28,'Analyse des risques'!$V$2:$V$29,"Faible")</f>
        <v>0</v>
      </c>
    </row>
    <row r="29" customFormat="false" ht="15" hidden="false" customHeight="true" outlineLevel="0" collapsed="false">
      <c r="B29" s="44" t="s">
        <v>68</v>
      </c>
      <c r="C29" s="71" t="n">
        <f aca="false">COUNTIF('Analyse des risques'!$G$2:$G$29,B29)</f>
        <v>2</v>
      </c>
      <c r="D29" s="43" t="n">
        <f aca="false">IFERROR(ROUND(AVERAGEIF('Analyse des risques'!$G$2:$G$29,B29,'Analyse des risques'!$U$2:$U$29),0),"—")</f>
        <v>66</v>
      </c>
      <c r="E29" s="71" t="n">
        <f aca="false">COUNTIFS('Analyse des risques'!$G$2:$G$29,B29,'Analyse des risques'!$V$2:$V$29,"Critique")</f>
        <v>0</v>
      </c>
      <c r="F29" s="43" t="n">
        <f aca="false">COUNTIFS('Analyse des risques'!$G$2:$G$29,B29,'Analyse des risques'!$V$2:$V$29,"Élevé")</f>
        <v>0</v>
      </c>
      <c r="G29" s="43" t="n">
        <f aca="false">COUNTIFS('Analyse des risques'!$G$2:$G$29,B29,'Analyse des risques'!$V$2:$V$29,"Moyen")</f>
        <v>2</v>
      </c>
      <c r="H29" s="43" t="n">
        <f aca="false">COUNTIFS('Analyse des risques'!$G$2:$G$29,B29,'Analyse des risques'!$V$2:$V$29,"Faible")</f>
        <v>0</v>
      </c>
    </row>
    <row r="30" customFormat="false" ht="15" hidden="false" customHeight="true" outlineLevel="0" collapsed="false">
      <c r="B30" s="47" t="s">
        <v>79</v>
      </c>
      <c r="C30" s="72" t="n">
        <f aca="false">COUNTIF('Analyse des risques'!$G$2:$G$29,B30)</f>
        <v>3</v>
      </c>
      <c r="D30" s="46" t="n">
        <f aca="false">IFERROR(ROUND(AVERAGEIF('Analyse des risques'!$G$2:$G$29,B30,'Analyse des risques'!$U$2:$U$29),0),"—")</f>
        <v>147</v>
      </c>
      <c r="E30" s="72" t="n">
        <f aca="false">COUNTIFS('Analyse des risques'!$G$2:$G$29,B30,'Analyse des risques'!$V$2:$V$29,"Critique")</f>
        <v>1</v>
      </c>
      <c r="F30" s="46" t="n">
        <f aca="false">COUNTIFS('Analyse des risques'!$G$2:$G$29,B30,'Analyse des risques'!$V$2:$V$29,"Élevé")</f>
        <v>0</v>
      </c>
      <c r="G30" s="46" t="n">
        <f aca="false">COUNTIFS('Analyse des risques'!$G$2:$G$29,B30,'Analyse des risques'!$V$2:$V$29,"Moyen")</f>
        <v>2</v>
      </c>
      <c r="H30" s="46" t="n">
        <f aca="false">COUNTIFS('Analyse des risques'!$G$2:$G$29,B30,'Analyse des risques'!$V$2:$V$29,"Faible")</f>
        <v>0</v>
      </c>
    </row>
    <row r="31" customFormat="false" ht="15" hidden="false" customHeight="true" outlineLevel="0" collapsed="false">
      <c r="B31" s="44" t="s">
        <v>39</v>
      </c>
      <c r="C31" s="71" t="n">
        <f aca="false">COUNTIF('Analyse des risques'!$G$2:$G$29,B31)</f>
        <v>5</v>
      </c>
      <c r="D31" s="43" t="n">
        <f aca="false">IFERROR(ROUND(AVERAGEIF('Analyse des risques'!$G$2:$G$29,B31,'Analyse des risques'!$U$2:$U$29),0),"—")</f>
        <v>134</v>
      </c>
      <c r="E31" s="71" t="n">
        <f aca="false">COUNTIFS('Analyse des risques'!$G$2:$G$29,B31,'Analyse des risques'!$V$2:$V$29,"Critique")</f>
        <v>0</v>
      </c>
      <c r="F31" s="43" t="n">
        <f aca="false">COUNTIFS('Analyse des risques'!$G$2:$G$29,B31,'Analyse des risques'!$V$2:$V$29,"Élevé")</f>
        <v>3</v>
      </c>
      <c r="G31" s="43" t="n">
        <f aca="false">COUNTIFS('Analyse des risques'!$G$2:$G$29,B31,'Analyse des risques'!$V$2:$V$29,"Moyen")</f>
        <v>2</v>
      </c>
      <c r="H31" s="43" t="n">
        <f aca="false">COUNTIFS('Analyse des risques'!$G$2:$G$29,B31,'Analyse des risques'!$V$2:$V$29,"Faible")</f>
        <v>0</v>
      </c>
    </row>
    <row r="32" customFormat="false" ht="15" hidden="false" customHeight="true" outlineLevel="0" collapsed="false">
      <c r="B32" s="47" t="s">
        <v>99</v>
      </c>
      <c r="C32" s="72" t="n">
        <f aca="false">COUNTIF('Analyse des risques'!$G$2:$G$29,B32)</f>
        <v>2</v>
      </c>
      <c r="D32" s="46" t="n">
        <f aca="false">IFERROR(ROUND(AVERAGEIF('Analyse des risques'!$G$2:$G$29,B32,'Analyse des risques'!$U$2:$U$29),0),"—")</f>
        <v>140</v>
      </c>
      <c r="E32" s="72" t="n">
        <f aca="false">COUNTIFS('Analyse des risques'!$G$2:$G$29,B32,'Analyse des risques'!$V$2:$V$29,"Critique")</f>
        <v>0</v>
      </c>
      <c r="F32" s="46" t="n">
        <f aca="false">COUNTIFS('Analyse des risques'!$G$2:$G$29,B32,'Analyse des risques'!$V$2:$V$29,"Élevé")</f>
        <v>1</v>
      </c>
      <c r="G32" s="46" t="n">
        <f aca="false">COUNTIFS('Analyse des risques'!$G$2:$G$29,B32,'Analyse des risques'!$V$2:$V$29,"Moyen")</f>
        <v>1</v>
      </c>
      <c r="H32" s="46" t="n">
        <f aca="false">COUNTIFS('Analyse des risques'!$G$2:$G$29,B32,'Analyse des risques'!$V$2:$V$29,"Faible")</f>
        <v>0</v>
      </c>
    </row>
    <row r="33" customFormat="false" ht="15" hidden="false" customHeight="true" outlineLevel="0" collapsed="false">
      <c r="B33" s="44" t="s">
        <v>106</v>
      </c>
      <c r="C33" s="71" t="n">
        <f aca="false">COUNTIF('Analyse des risques'!$G$2:$G$29,B33)</f>
        <v>3</v>
      </c>
      <c r="D33" s="43" t="n">
        <f aca="false">IFERROR(ROUND(AVERAGEIF('Analyse des risques'!$G$2:$G$29,B33,'Analyse des risques'!$U$2:$U$29),0),"—")</f>
        <v>30</v>
      </c>
      <c r="E33" s="71" t="n">
        <f aca="false">COUNTIFS('Analyse des risques'!$G$2:$G$29,B33,'Analyse des risques'!$V$2:$V$29,"Critique")</f>
        <v>0</v>
      </c>
      <c r="F33" s="43" t="n">
        <f aca="false">COUNTIFS('Analyse des risques'!$G$2:$G$29,B33,'Analyse des risques'!$V$2:$V$29,"Élevé")</f>
        <v>0</v>
      </c>
      <c r="G33" s="43" t="n">
        <f aca="false">COUNTIFS('Analyse des risques'!$G$2:$G$29,B33,'Analyse des risques'!$V$2:$V$29,"Moyen")</f>
        <v>1</v>
      </c>
      <c r="H33" s="43" t="n">
        <f aca="false">COUNTIFS('Analyse des risques'!$G$2:$G$29,B33,'Analyse des risques'!$V$2:$V$29,"Faible")</f>
        <v>2</v>
      </c>
    </row>
    <row r="34" customFormat="false" ht="15" hidden="false" customHeight="true" outlineLevel="0" collapsed="false">
      <c r="B34" s="47" t="s">
        <v>112</v>
      </c>
      <c r="C34" s="72" t="n">
        <f aca="false">COUNTIF('Analyse des risques'!$G$2:$G$29,B34)</f>
        <v>2</v>
      </c>
      <c r="D34" s="46" t="n">
        <f aca="false">IFERROR(ROUND(AVERAGEIF('Analyse des risques'!$G$2:$G$29,B34,'Analyse des risques'!$U$2:$U$29),0),"—")</f>
        <v>260</v>
      </c>
      <c r="E34" s="72" t="n">
        <f aca="false">COUNTIFS('Analyse des risques'!$G$2:$G$29,B34,'Analyse des risques'!$V$2:$V$29,"Critique")</f>
        <v>1</v>
      </c>
      <c r="F34" s="46" t="n">
        <f aca="false">COUNTIFS('Analyse des risques'!$G$2:$G$29,B34,'Analyse des risques'!$V$2:$V$29,"Élevé")</f>
        <v>0</v>
      </c>
      <c r="G34" s="46" t="n">
        <f aca="false">COUNTIFS('Analyse des risques'!$G$2:$G$29,B34,'Analyse des risques'!$V$2:$V$29,"Moyen")</f>
        <v>1</v>
      </c>
      <c r="H34" s="46" t="n">
        <f aca="false">COUNTIFS('Analyse des risques'!$G$2:$G$29,B34,'Analyse des risques'!$V$2:$V$29,"Faible")</f>
        <v>0</v>
      </c>
    </row>
    <row r="35" customFormat="false" ht="15" hidden="false" customHeight="true" outlineLevel="0" collapsed="false">
      <c r="B35" s="44" t="s">
        <v>118</v>
      </c>
      <c r="C35" s="71" t="n">
        <f aca="false">COUNTIF('Analyse des risques'!$G$2:$G$29,B35)</f>
        <v>2</v>
      </c>
      <c r="D35" s="43" t="n">
        <f aca="false">IFERROR(ROUND(AVERAGEIF('Analyse des risques'!$G$2:$G$29,B35,'Analyse des risques'!$U$2:$U$29),0),"—")</f>
        <v>141</v>
      </c>
      <c r="E35" s="71" t="n">
        <f aca="false">COUNTIFS('Analyse des risques'!$G$2:$G$29,B35,'Analyse des risques'!$V$2:$V$29,"Critique")</f>
        <v>0</v>
      </c>
      <c r="F35" s="43" t="n">
        <f aca="false">COUNTIFS('Analyse des risques'!$G$2:$G$29,B35,'Analyse des risques'!$V$2:$V$29,"Élevé")</f>
        <v>1</v>
      </c>
      <c r="G35" s="43" t="n">
        <f aca="false">COUNTIFS('Analyse des risques'!$G$2:$G$29,B35,'Analyse des risques'!$V$2:$V$29,"Moyen")</f>
        <v>1</v>
      </c>
      <c r="H35" s="43" t="n">
        <f aca="false">COUNTIFS('Analyse des risques'!$G$2:$G$29,B35,'Analyse des risques'!$V$2:$V$29,"Faible")</f>
        <v>0</v>
      </c>
    </row>
    <row r="36" customFormat="false" ht="15" hidden="false" customHeight="true" outlineLevel="0" collapsed="false">
      <c r="B36" s="47" t="s">
        <v>123</v>
      </c>
      <c r="C36" s="72" t="n">
        <f aca="false">COUNTIF('Analyse des risques'!$G$2:$G$29,B36)</f>
        <v>2</v>
      </c>
      <c r="D36" s="46" t="n">
        <f aca="false">IFERROR(ROUND(AVERAGEIF('Analyse des risques'!$G$2:$G$29,B36,'Analyse des risques'!$U$2:$U$29),0),"—")</f>
        <v>46</v>
      </c>
      <c r="E36" s="72" t="n">
        <f aca="false">COUNTIFS('Analyse des risques'!$G$2:$G$29,B36,'Analyse des risques'!$V$2:$V$29,"Critique")</f>
        <v>0</v>
      </c>
      <c r="F36" s="46" t="n">
        <f aca="false">COUNTIFS('Analyse des risques'!$G$2:$G$29,B36,'Analyse des risques'!$V$2:$V$29,"Élevé")</f>
        <v>0</v>
      </c>
      <c r="G36" s="46" t="n">
        <f aca="false">COUNTIFS('Analyse des risques'!$G$2:$G$29,B36,'Analyse des risques'!$V$2:$V$29,"Moyen")</f>
        <v>1</v>
      </c>
      <c r="H36" s="46" t="n">
        <f aca="false">COUNTIFS('Analyse des risques'!$G$2:$G$29,B36,'Analyse des risques'!$V$2:$V$29,"Faible")</f>
        <v>1</v>
      </c>
    </row>
    <row r="37" customFormat="false" ht="15" hidden="false" customHeight="true" outlineLevel="0" collapsed="false">
      <c r="B37" s="44" t="s">
        <v>127</v>
      </c>
      <c r="C37" s="71" t="n">
        <f aca="false">COUNTIF('Analyse des risques'!$G$2:$G$29,B37)</f>
        <v>2</v>
      </c>
      <c r="D37" s="43" t="n">
        <f aca="false">IFERROR(ROUND(AVERAGEIF('Analyse des risques'!$G$2:$G$29,B37,'Analyse des risques'!$U$2:$U$29),0),"—")</f>
        <v>117</v>
      </c>
      <c r="E37" s="71" t="n">
        <f aca="false">COUNTIFS('Analyse des risques'!$G$2:$G$29,B37,'Analyse des risques'!$V$2:$V$29,"Critique")</f>
        <v>0</v>
      </c>
      <c r="F37" s="43" t="n">
        <f aca="false">COUNTIFS('Analyse des risques'!$G$2:$G$29,B37,'Analyse des risques'!$V$2:$V$29,"Élevé")</f>
        <v>1</v>
      </c>
      <c r="G37" s="43" t="n">
        <f aca="false">COUNTIFS('Analyse des risques'!$G$2:$G$29,B37,'Analyse des risques'!$V$2:$V$29,"Moyen")</f>
        <v>1</v>
      </c>
      <c r="H37" s="43" t="n">
        <f aca="false">COUNTIFS('Analyse des risques'!$G$2:$G$29,B37,'Analyse des risques'!$V$2:$V$29,"Faible")</f>
        <v>0</v>
      </c>
    </row>
    <row r="38" customFormat="false" ht="15" hidden="false" customHeight="true" outlineLevel="0" collapsed="false">
      <c r="B38" s="47" t="s">
        <v>130</v>
      </c>
      <c r="C38" s="72" t="n">
        <f aca="false">COUNTIF('Analyse des risques'!$G$2:$G$29,B38)</f>
        <v>2</v>
      </c>
      <c r="D38" s="46" t="n">
        <f aca="false">IFERROR(ROUND(AVERAGEIF('Analyse des risques'!$G$2:$G$29,B38,'Analyse des risques'!$U$2:$U$29),0),"—")</f>
        <v>120</v>
      </c>
      <c r="E38" s="72" t="n">
        <f aca="false">COUNTIFS('Analyse des risques'!$G$2:$G$29,B38,'Analyse des risques'!$V$2:$V$29,"Critique")</f>
        <v>0</v>
      </c>
      <c r="F38" s="46" t="n">
        <f aca="false">COUNTIFS('Analyse des risques'!$G$2:$G$29,B38,'Analyse des risques'!$V$2:$V$29,"Élevé")</f>
        <v>0</v>
      </c>
      <c r="G38" s="46" t="n">
        <f aca="false">COUNTIFS('Analyse des risques'!$G$2:$G$29,B38,'Analyse des risques'!$V$2:$V$29,"Moyen")</f>
        <v>2</v>
      </c>
      <c r="H38" s="46" t="n">
        <f aca="false">COUNTIFS('Analyse des risques'!$G$2:$G$29,B38,'Analyse des risques'!$V$2:$V$29,"Faible")</f>
        <v>0</v>
      </c>
    </row>
    <row r="40" customFormat="false" ht="21.75" hidden="false" customHeight="true" outlineLevel="0" collapsed="false">
      <c r="B40" s="69" t="s">
        <v>476</v>
      </c>
      <c r="C40" s="69"/>
      <c r="D40" s="69"/>
      <c r="E40" s="69"/>
      <c r="F40" s="69"/>
      <c r="G40" s="69"/>
      <c r="H40" s="69"/>
    </row>
    <row r="41" customFormat="false" ht="15" hidden="false" customHeight="true" outlineLevel="0" collapsed="false">
      <c r="B41" s="70"/>
      <c r="C41" s="70" t="s">
        <v>460</v>
      </c>
      <c r="D41" s="70" t="s">
        <v>469</v>
      </c>
      <c r="E41" s="70" t="s">
        <v>470</v>
      </c>
      <c r="F41" s="70" t="s">
        <v>471</v>
      </c>
      <c r="G41" s="70" t="s">
        <v>472</v>
      </c>
      <c r="H41" s="70" t="s">
        <v>473</v>
      </c>
    </row>
    <row r="42" customFormat="false" ht="15" hidden="false" customHeight="true" outlineLevel="0" collapsed="false">
      <c r="B42" s="44" t="s">
        <v>43</v>
      </c>
      <c r="C42" s="71" t="n">
        <f aca="false">COUNTIF('Analyse des risques'!$I$2:$I$29,B42)</f>
        <v>5</v>
      </c>
      <c r="D42" s="43" t="n">
        <f aca="false">IFERROR(ROUND(AVERAGEIF('Analyse des risques'!$I$2:$I$29,B42,'Analyse des risques'!$U$2:$U$29),0),"—")</f>
        <v>132</v>
      </c>
      <c r="E42" s="71" t="n">
        <f aca="false">COUNTIFS('Analyse des risques'!$I$2:$I$29,B42,'Analyse des risques'!$V$2:$V$29,"Critique")</f>
        <v>0</v>
      </c>
      <c r="F42" s="43" t="n">
        <f aca="false">COUNTIFS('Analyse des risques'!$I$2:$I$29,B42,'Analyse des risques'!$V$2:$V$29,"Élevé")</f>
        <v>2</v>
      </c>
      <c r="G42" s="43" t="n">
        <f aca="false">COUNTIFS('Analyse des risques'!$I$2:$I$29,B42,'Analyse des risques'!$V$2:$V$29,"Moyen")</f>
        <v>3</v>
      </c>
      <c r="H42" s="43" t="n">
        <f aca="false">COUNTIFS('Analyse des risques'!$I$2:$I$29,B42,'Analyse des risques'!$V$2:$V$29,"Faible")</f>
        <v>0</v>
      </c>
    </row>
    <row r="43" customFormat="false" ht="15" hidden="false" customHeight="true" outlineLevel="0" collapsed="false">
      <c r="B43" s="47" t="s">
        <v>56</v>
      </c>
      <c r="C43" s="72" t="n">
        <f aca="false">COUNTIF('Analyse des risques'!$I$2:$I$29,B43)</f>
        <v>2</v>
      </c>
      <c r="D43" s="46" t="n">
        <f aca="false">IFERROR(ROUND(AVERAGEIF('Analyse des risques'!$I$2:$I$29,B43,'Analyse des risques'!$U$2:$U$29),0),"—")</f>
        <v>141</v>
      </c>
      <c r="E43" s="72" t="n">
        <f aca="false">COUNTIFS('Analyse des risques'!$I$2:$I$29,B43,'Analyse des risques'!$V$2:$V$29,"Critique")</f>
        <v>0</v>
      </c>
      <c r="F43" s="46" t="n">
        <f aca="false">COUNTIFS('Analyse des risques'!$I$2:$I$29,B43,'Analyse des risques'!$V$2:$V$29,"Élevé")</f>
        <v>1</v>
      </c>
      <c r="G43" s="46" t="n">
        <f aca="false">COUNTIFS('Analyse des risques'!$I$2:$I$29,B43,'Analyse des risques'!$V$2:$V$29,"Moyen")</f>
        <v>1</v>
      </c>
      <c r="H43" s="46" t="n">
        <f aca="false">COUNTIFS('Analyse des risques'!$I$2:$I$29,B43,'Analyse des risques'!$V$2:$V$29,"Faible")</f>
        <v>0</v>
      </c>
    </row>
    <row r="44" customFormat="false" ht="15" hidden="false" customHeight="true" outlineLevel="0" collapsed="false">
      <c r="B44" s="44" t="s">
        <v>69</v>
      </c>
      <c r="C44" s="71" t="n">
        <f aca="false">COUNTIF('Analyse des risques'!$I$2:$I$29,B44)</f>
        <v>4</v>
      </c>
      <c r="D44" s="43" t="n">
        <f aca="false">IFERROR(ROUND(AVERAGEIF('Analyse des risques'!$I$2:$I$29,B44,'Analyse des risques'!$U$2:$U$29),0),"—")</f>
        <v>69</v>
      </c>
      <c r="E44" s="71" t="n">
        <f aca="false">COUNTIFS('Analyse des risques'!$I$2:$I$29,B44,'Analyse des risques'!$V$2:$V$29,"Critique")</f>
        <v>0</v>
      </c>
      <c r="F44" s="43" t="n">
        <f aca="false">COUNTIFS('Analyse des risques'!$I$2:$I$29,B44,'Analyse des risques'!$V$2:$V$29,"Élevé")</f>
        <v>1</v>
      </c>
      <c r="G44" s="43" t="n">
        <f aca="false">COUNTIFS('Analyse des risques'!$I$2:$I$29,B44,'Analyse des risques'!$V$2:$V$29,"Moyen")</f>
        <v>1</v>
      </c>
      <c r="H44" s="43" t="n">
        <f aca="false">COUNTIFS('Analyse des risques'!$I$2:$I$29,B44,'Analyse des risques'!$V$2:$V$29,"Faible")</f>
        <v>2</v>
      </c>
    </row>
    <row r="45" customFormat="false" ht="15" hidden="false" customHeight="true" outlineLevel="0" collapsed="false">
      <c r="B45" s="47" t="s">
        <v>80</v>
      </c>
      <c r="C45" s="72" t="n">
        <f aca="false">COUNTIF('Analyse des risques'!$I$2:$I$29,B45)</f>
        <v>2</v>
      </c>
      <c r="D45" s="46" t="n">
        <f aca="false">IFERROR(ROUND(AVERAGEIF('Analyse des risques'!$I$2:$I$29,B45,'Analyse des risques'!$U$2:$U$29),0),"—")</f>
        <v>126</v>
      </c>
      <c r="E45" s="72" t="n">
        <f aca="false">COUNTIFS('Analyse des risques'!$I$2:$I$29,B45,'Analyse des risques'!$V$2:$V$29,"Critique")</f>
        <v>0</v>
      </c>
      <c r="F45" s="46" t="n">
        <f aca="false">COUNTIFS('Analyse des risques'!$I$2:$I$29,B45,'Analyse des risques'!$V$2:$V$29,"Élevé")</f>
        <v>1</v>
      </c>
      <c r="G45" s="46" t="n">
        <f aca="false">COUNTIFS('Analyse des risques'!$I$2:$I$29,B45,'Analyse des risques'!$V$2:$V$29,"Moyen")</f>
        <v>1</v>
      </c>
      <c r="H45" s="46" t="n">
        <f aca="false">COUNTIFS('Analyse des risques'!$I$2:$I$29,B45,'Analyse des risques'!$V$2:$V$29,"Faible")</f>
        <v>0</v>
      </c>
    </row>
    <row r="46" customFormat="false" ht="15" hidden="false" customHeight="true" outlineLevel="0" collapsed="false">
      <c r="B46" s="44" t="s">
        <v>90</v>
      </c>
      <c r="C46" s="71" t="n">
        <f aca="false">COUNTIF('Analyse des risques'!$I$2:$I$29,B46)</f>
        <v>4</v>
      </c>
      <c r="D46" s="43" t="n">
        <f aca="false">IFERROR(ROUND(AVERAGEIF('Analyse des risques'!$I$2:$I$29,B46,'Analyse des risques'!$U$2:$U$29),0),"—")</f>
        <v>155</v>
      </c>
      <c r="E46" s="71" t="n">
        <f aca="false">COUNTIFS('Analyse des risques'!$I$2:$I$29,B46,'Analyse des risques'!$V$2:$V$29,"Critique")</f>
        <v>2</v>
      </c>
      <c r="F46" s="43" t="n">
        <f aca="false">COUNTIFS('Analyse des risques'!$I$2:$I$29,B46,'Analyse des risques'!$V$2:$V$29,"Élevé")</f>
        <v>0</v>
      </c>
      <c r="G46" s="43" t="n">
        <f aca="false">COUNTIFS('Analyse des risques'!$I$2:$I$29,B46,'Analyse des risques'!$V$2:$V$29,"Moyen")</f>
        <v>2</v>
      </c>
      <c r="H46" s="43" t="n">
        <f aca="false">COUNTIFS('Analyse des risques'!$I$2:$I$29,B46,'Analyse des risques'!$V$2:$V$29,"Faible")</f>
        <v>0</v>
      </c>
    </row>
    <row r="47" customFormat="false" ht="15" hidden="false" customHeight="true" outlineLevel="0" collapsed="false">
      <c r="B47" s="47" t="s">
        <v>100</v>
      </c>
      <c r="C47" s="72" t="n">
        <f aca="false">COUNTIF('Analyse des risques'!$I$2:$I$29,B47)</f>
        <v>2</v>
      </c>
      <c r="D47" s="46" t="n">
        <f aca="false">IFERROR(ROUND(AVERAGEIF('Analyse des risques'!$I$2:$I$29,B47,'Analyse des risques'!$U$2:$U$29),0),"—")</f>
        <v>66</v>
      </c>
      <c r="E47" s="72" t="n">
        <f aca="false">COUNTIFS('Analyse des risques'!$I$2:$I$29,B47,'Analyse des risques'!$V$2:$V$29,"Critique")</f>
        <v>0</v>
      </c>
      <c r="F47" s="46" t="n">
        <f aca="false">COUNTIFS('Analyse des risques'!$I$2:$I$29,B47,'Analyse des risques'!$V$2:$V$29,"Élevé")</f>
        <v>0</v>
      </c>
      <c r="G47" s="46" t="n">
        <f aca="false">COUNTIFS('Analyse des risques'!$I$2:$I$29,B47,'Analyse des risques'!$V$2:$V$29,"Moyen")</f>
        <v>2</v>
      </c>
      <c r="H47" s="46" t="n">
        <f aca="false">COUNTIFS('Analyse des risques'!$I$2:$I$29,B47,'Analyse des risques'!$V$2:$V$29,"Faible")</f>
        <v>0</v>
      </c>
    </row>
    <row r="48" customFormat="false" ht="15" hidden="false" customHeight="true" outlineLevel="0" collapsed="false">
      <c r="B48" s="44" t="s">
        <v>107</v>
      </c>
      <c r="C48" s="71" t="n">
        <f aca="false">COUNTIF('Analyse des risques'!$I$2:$I$29,B48)</f>
        <v>2</v>
      </c>
      <c r="D48" s="43" t="n">
        <f aca="false">IFERROR(ROUND(AVERAGEIF('Analyse des risques'!$I$2:$I$29,B48,'Analyse des risques'!$U$2:$U$29),0),"—")</f>
        <v>180</v>
      </c>
      <c r="E48" s="71" t="n">
        <f aca="false">COUNTIFS('Analyse des risques'!$I$2:$I$29,B48,'Analyse des risques'!$V$2:$V$29,"Critique")</f>
        <v>1</v>
      </c>
      <c r="F48" s="43" t="n">
        <f aca="false">COUNTIFS('Analyse des risques'!$I$2:$I$29,B48,'Analyse des risques'!$V$2:$V$29,"Élevé")</f>
        <v>0</v>
      </c>
      <c r="G48" s="43" t="n">
        <f aca="false">COUNTIFS('Analyse des risques'!$I$2:$I$29,B48,'Analyse des risques'!$V$2:$V$29,"Moyen")</f>
        <v>1</v>
      </c>
      <c r="H48" s="43" t="n">
        <f aca="false">COUNTIFS('Analyse des risques'!$I$2:$I$29,B48,'Analyse des risques'!$V$2:$V$29,"Faible")</f>
        <v>0</v>
      </c>
    </row>
    <row r="49" customFormat="false" ht="15" hidden="false" customHeight="true" outlineLevel="0" collapsed="false">
      <c r="B49" s="47" t="s">
        <v>113</v>
      </c>
      <c r="C49" s="72" t="n">
        <f aca="false">COUNTIF('Analyse des risques'!$I$2:$I$29,B49)</f>
        <v>3</v>
      </c>
      <c r="D49" s="46" t="n">
        <f aca="false">IFERROR(ROUND(AVERAGEIF('Analyse des risques'!$I$2:$I$29,B49,'Analyse des risques'!$U$2:$U$29),0),"—")</f>
        <v>213</v>
      </c>
      <c r="E49" s="72" t="n">
        <f aca="false">COUNTIFS('Analyse des risques'!$I$2:$I$29,B49,'Analyse des risques'!$V$2:$V$29,"Critique")</f>
        <v>1</v>
      </c>
      <c r="F49" s="46" t="n">
        <f aca="false">COUNTIFS('Analyse des risques'!$I$2:$I$29,B49,'Analyse des risques'!$V$2:$V$29,"Élevé")</f>
        <v>0</v>
      </c>
      <c r="G49" s="46" t="n">
        <f aca="false">COUNTIFS('Analyse des risques'!$I$2:$I$29,B49,'Analyse des risques'!$V$2:$V$29,"Moyen")</f>
        <v>2</v>
      </c>
      <c r="H49" s="46" t="n">
        <f aca="false">COUNTIFS('Analyse des risques'!$I$2:$I$29,B49,'Analyse des risques'!$V$2:$V$29,"Faible")</f>
        <v>0</v>
      </c>
    </row>
    <row r="50" customFormat="false" ht="15" hidden="false" customHeight="true" outlineLevel="0" collapsed="false">
      <c r="B50" s="44" t="s">
        <v>119</v>
      </c>
      <c r="C50" s="71" t="n">
        <f aca="false">COUNTIF('Analyse des risques'!$I$2:$I$29,B50)</f>
        <v>1</v>
      </c>
      <c r="D50" s="43" t="n">
        <f aca="false">IFERROR(ROUND(AVERAGEIF('Analyse des risques'!$I$2:$I$29,B50,'Analyse des risques'!$U$2:$U$29),0),"—")</f>
        <v>144</v>
      </c>
      <c r="E50" s="71" t="n">
        <f aca="false">COUNTIFS('Analyse des risques'!$I$2:$I$29,B50,'Analyse des risques'!$V$2:$V$29,"Critique")</f>
        <v>0</v>
      </c>
      <c r="F50" s="43" t="n">
        <f aca="false">COUNTIFS('Analyse des risques'!$I$2:$I$29,B50,'Analyse des risques'!$V$2:$V$29,"Élevé")</f>
        <v>1</v>
      </c>
      <c r="G50" s="43" t="n">
        <f aca="false">COUNTIFS('Analyse des risques'!$I$2:$I$29,B50,'Analyse des risques'!$V$2:$V$29,"Moyen")</f>
        <v>0</v>
      </c>
      <c r="H50" s="43" t="n">
        <f aca="false">COUNTIFS('Analyse des risques'!$I$2:$I$29,B50,'Analyse des risques'!$V$2:$V$29,"Faible")</f>
        <v>0</v>
      </c>
    </row>
    <row r="51" customFormat="false" ht="15" hidden="false" customHeight="true" outlineLevel="0" collapsed="false">
      <c r="B51" s="47" t="s">
        <v>124</v>
      </c>
      <c r="C51" s="72" t="n">
        <f aca="false">COUNTIF('Analyse des risques'!$I$2:$I$29,B51)</f>
        <v>1</v>
      </c>
      <c r="D51" s="46" t="n">
        <f aca="false">IFERROR(ROUND(AVERAGEIF('Analyse des risques'!$I$2:$I$29,B51,'Analyse des risques'!$U$2:$U$29),0),"—")</f>
        <v>80</v>
      </c>
      <c r="E51" s="72" t="n">
        <f aca="false">COUNTIFS('Analyse des risques'!$I$2:$I$29,B51,'Analyse des risques'!$V$2:$V$29,"Critique")</f>
        <v>0</v>
      </c>
      <c r="F51" s="46" t="n">
        <f aca="false">COUNTIFS('Analyse des risques'!$I$2:$I$29,B51,'Analyse des risques'!$V$2:$V$29,"Élevé")</f>
        <v>0</v>
      </c>
      <c r="G51" s="46" t="n">
        <f aca="false">COUNTIFS('Analyse des risques'!$I$2:$I$29,B51,'Analyse des risques'!$V$2:$V$29,"Moyen")</f>
        <v>1</v>
      </c>
      <c r="H51" s="46" t="n">
        <f aca="false">COUNTIFS('Analyse des risques'!$I$2:$I$29,B51,'Analyse des risques'!$V$2:$V$29,"Faible")</f>
        <v>0</v>
      </c>
    </row>
    <row r="52" customFormat="false" ht="15" hidden="false" customHeight="true" outlineLevel="0" collapsed="false">
      <c r="B52" s="44" t="s">
        <v>128</v>
      </c>
      <c r="C52" s="71" t="n">
        <f aca="false">COUNTIF('Analyse des risques'!$I$2:$I$29,B52)</f>
        <v>1</v>
      </c>
      <c r="D52" s="43" t="n">
        <f aca="false">IFERROR(ROUND(AVERAGEIF('Analyse des risques'!$I$2:$I$29,B52,'Analyse des risques'!$U$2:$U$29),0),"—")</f>
        <v>18</v>
      </c>
      <c r="E52" s="71" t="n">
        <f aca="false">COUNTIFS('Analyse des risques'!$I$2:$I$29,B52,'Analyse des risques'!$V$2:$V$29,"Critique")</f>
        <v>0</v>
      </c>
      <c r="F52" s="43" t="n">
        <f aca="false">COUNTIFS('Analyse des risques'!$I$2:$I$29,B52,'Analyse des risques'!$V$2:$V$29,"Élevé")</f>
        <v>0</v>
      </c>
      <c r="G52" s="43" t="n">
        <f aca="false">COUNTIFS('Analyse des risques'!$I$2:$I$29,B52,'Analyse des risques'!$V$2:$V$29,"Moyen")</f>
        <v>0</v>
      </c>
      <c r="H52" s="43" t="n">
        <f aca="false">COUNTIFS('Analyse des risques'!$I$2:$I$29,B52,'Analyse des risques'!$V$2:$V$29,"Faible")</f>
        <v>1</v>
      </c>
    </row>
    <row r="53" customFormat="false" ht="15" hidden="false" customHeight="true" outlineLevel="0" collapsed="false">
      <c r="B53" s="47" t="s">
        <v>131</v>
      </c>
      <c r="C53" s="72" t="n">
        <f aca="false">COUNTIF('Analyse des risques'!$I$2:$I$29,B53)</f>
        <v>1</v>
      </c>
      <c r="D53" s="46" t="n">
        <f aca="false">IFERROR(ROUND(AVERAGEIF('Analyse des risques'!$I$2:$I$29,B53,'Analyse des risques'!$U$2:$U$29),0),"—")</f>
        <v>120</v>
      </c>
      <c r="E53" s="72" t="n">
        <f aca="false">COUNTIFS('Analyse des risques'!$I$2:$I$29,B53,'Analyse des risques'!$V$2:$V$29,"Critique")</f>
        <v>0</v>
      </c>
      <c r="F53" s="46" t="n">
        <f aca="false">COUNTIFS('Analyse des risques'!$I$2:$I$29,B53,'Analyse des risques'!$V$2:$V$29,"Élevé")</f>
        <v>0</v>
      </c>
      <c r="G53" s="46" t="n">
        <f aca="false">COUNTIFS('Analyse des risques'!$I$2:$I$29,B53,'Analyse des risques'!$V$2:$V$29,"Moyen")</f>
        <v>1</v>
      </c>
      <c r="H53" s="46" t="n">
        <f aca="false">COUNTIFS('Analyse des risques'!$I$2:$I$29,B53,'Analyse des risques'!$V$2:$V$29,"Faible")</f>
        <v>0</v>
      </c>
    </row>
    <row r="55" customFormat="false" ht="15" hidden="false" customHeight="true" outlineLevel="0" collapsed="false">
      <c r="B55" s="69" t="s">
        <v>477</v>
      </c>
      <c r="C55" s="69"/>
      <c r="D55" s="69"/>
      <c r="E55" s="69"/>
      <c r="F55" s="69"/>
      <c r="G55" s="69"/>
      <c r="H55" s="69"/>
    </row>
    <row r="56" customFormat="false" ht="20.25" hidden="false" customHeight="true" outlineLevel="0" collapsed="false">
      <c r="B56" s="70"/>
      <c r="C56" s="70" t="s">
        <v>478</v>
      </c>
      <c r="D56" s="70" t="s">
        <v>479</v>
      </c>
      <c r="E56" s="70" t="s">
        <v>480</v>
      </c>
      <c r="F56" s="70" t="s">
        <v>75</v>
      </c>
      <c r="G56" s="70" t="s">
        <v>481</v>
      </c>
      <c r="H56" s="70"/>
    </row>
    <row r="57" customFormat="false" ht="15" hidden="false" customHeight="true" outlineLevel="0" collapsed="false">
      <c r="B57" s="44" t="s">
        <v>46</v>
      </c>
      <c r="C57" s="43" t="n">
        <f aca="false">COUNTIF('Plan d''actions'!$D$2:$D$19,B57)</f>
        <v>3</v>
      </c>
      <c r="D57" s="43" t="n">
        <f aca="false">COUNTIFS('Plan d''actions'!$D$2:$D$19,B57,'Plan d''actions'!$H$2:$H$19,"À faire")+COUNTIFS('Plan d''actions'!$D$2:$D$19,B57,'Plan d''actions'!$H$2:$H$19,"En cours")+COUNTIFS('Plan d''actions'!$D$2:$D$19,B57,'Plan d''actions'!$H$2:$H$19,"En retard")</f>
        <v>1</v>
      </c>
      <c r="E57" s="43" t="n">
        <f aca="false">COUNTIFS('Plan d''actions'!$D$2:$D$19,B57,'Plan d''actions'!$H$2:$H$19,"Clôturée")</f>
        <v>2</v>
      </c>
      <c r="F57" s="43" t="n">
        <f aca="false">COUNTIFS('Plan d''actions'!$D$2:$D$19,B57,'Plan d''actions'!$H$2:$H$19,"En retard")</f>
        <v>0</v>
      </c>
      <c r="G57" s="73" t="n">
        <f aca="false">IFERROR(AVERAGEIFS('Plan d''actions'!$I$2:$I$19,'Plan d''actions'!$D$2:$D$19,B57),"—")</f>
        <v>0.666666666666667</v>
      </c>
      <c r="H57" s="43"/>
    </row>
    <row r="58" customFormat="false" ht="15" hidden="false" customHeight="true" outlineLevel="0" collapsed="false">
      <c r="B58" s="47" t="s">
        <v>59</v>
      </c>
      <c r="C58" s="46" t="n">
        <f aca="false">COUNTIF('Plan d''actions'!$D$2:$D$19,B58)</f>
        <v>4</v>
      </c>
      <c r="D58" s="46" t="n">
        <f aca="false">COUNTIFS('Plan d''actions'!$D$2:$D$19,B58,'Plan d''actions'!$H$2:$H$19,"À faire")+COUNTIFS('Plan d''actions'!$D$2:$D$19,B58,'Plan d''actions'!$H$2:$H$19,"En cours")+COUNTIFS('Plan d''actions'!$D$2:$D$19,B58,'Plan d''actions'!$H$2:$H$19,"En retard")</f>
        <v>3</v>
      </c>
      <c r="E58" s="46" t="n">
        <f aca="false">COUNTIFS('Plan d''actions'!$D$2:$D$19,B58,'Plan d''actions'!$H$2:$H$19,"Clôturée")</f>
        <v>1</v>
      </c>
      <c r="F58" s="46" t="n">
        <f aca="false">COUNTIFS('Plan d''actions'!$D$2:$D$19,B58,'Plan d''actions'!$H$2:$H$19,"En retard")</f>
        <v>1</v>
      </c>
      <c r="G58" s="74" t="n">
        <f aca="false">IFERROR(AVERAGEIFS('Plan d''actions'!$I$2:$I$19,'Plan d''actions'!$D$2:$D$19,B58),"—")</f>
        <v>0.6875</v>
      </c>
      <c r="H58" s="46"/>
    </row>
    <row r="59" customFormat="false" ht="15" hidden="false" customHeight="true" outlineLevel="0" collapsed="false">
      <c r="B59" s="44" t="s">
        <v>72</v>
      </c>
      <c r="C59" s="43" t="n">
        <f aca="false">COUNTIF('Plan d''actions'!$D$2:$D$19,B59)</f>
        <v>1</v>
      </c>
      <c r="D59" s="43" t="n">
        <f aca="false">COUNTIFS('Plan d''actions'!$D$2:$D$19,B59,'Plan d''actions'!$H$2:$H$19,"À faire")+COUNTIFS('Plan d''actions'!$D$2:$D$19,B59,'Plan d''actions'!$H$2:$H$19,"En cours")+COUNTIFS('Plan d''actions'!$D$2:$D$19,B59,'Plan d''actions'!$H$2:$H$19,"En retard")</f>
        <v>1</v>
      </c>
      <c r="E59" s="43" t="n">
        <f aca="false">COUNTIFS('Plan d''actions'!$D$2:$D$19,B59,'Plan d''actions'!$H$2:$H$19,"Clôturée")</f>
        <v>0</v>
      </c>
      <c r="F59" s="43" t="n">
        <f aca="false">COUNTIFS('Plan d''actions'!$D$2:$D$19,B59,'Plan d''actions'!$H$2:$H$19,"En retard")</f>
        <v>0</v>
      </c>
      <c r="G59" s="73" t="n">
        <f aca="false">IFERROR(AVERAGEIFS('Plan d''actions'!$I$2:$I$19,'Plan d''actions'!$D$2:$D$19,B59),"—")</f>
        <v>0.3</v>
      </c>
      <c r="H59" s="43"/>
    </row>
    <row r="60" customFormat="false" ht="15" hidden="false" customHeight="true" outlineLevel="0" collapsed="false">
      <c r="B60" s="47" t="s">
        <v>83</v>
      </c>
      <c r="C60" s="46" t="n">
        <f aca="false">COUNTIF('Plan d''actions'!$D$2:$D$19,B60)</f>
        <v>3</v>
      </c>
      <c r="D60" s="46" t="n">
        <f aca="false">COUNTIFS('Plan d''actions'!$D$2:$D$19,B60,'Plan d''actions'!$H$2:$H$19,"À faire")+COUNTIFS('Plan d''actions'!$D$2:$D$19,B60,'Plan d''actions'!$H$2:$H$19,"En cours")+COUNTIFS('Plan d''actions'!$D$2:$D$19,B60,'Plan d''actions'!$H$2:$H$19,"En retard")</f>
        <v>1</v>
      </c>
      <c r="E60" s="46" t="n">
        <f aca="false">COUNTIFS('Plan d''actions'!$D$2:$D$19,B60,'Plan d''actions'!$H$2:$H$19,"Clôturée")</f>
        <v>2</v>
      </c>
      <c r="F60" s="46" t="n">
        <f aca="false">COUNTIFS('Plan d''actions'!$D$2:$D$19,B60,'Plan d''actions'!$H$2:$H$19,"En retard")</f>
        <v>0</v>
      </c>
      <c r="G60" s="74" t="n">
        <f aca="false">IFERROR(AVERAGEIFS('Plan d''actions'!$I$2:$I$19,'Plan d''actions'!$D$2:$D$19,B60),"—")</f>
        <v>0.933333333333333</v>
      </c>
      <c r="H60" s="46"/>
    </row>
    <row r="61" customFormat="false" ht="15" hidden="false" customHeight="true" outlineLevel="0" collapsed="false">
      <c r="B61" s="44" t="s">
        <v>93</v>
      </c>
      <c r="C61" s="43" t="n">
        <f aca="false">COUNTIF('Plan d''actions'!$D$2:$D$19,B61)</f>
        <v>2</v>
      </c>
      <c r="D61" s="43" t="n">
        <f aca="false">COUNTIFS('Plan d''actions'!$D$2:$D$19,B61,'Plan d''actions'!$H$2:$H$19,"À faire")+COUNTIFS('Plan d''actions'!$D$2:$D$19,B61,'Plan d''actions'!$H$2:$H$19,"En cours")+COUNTIFS('Plan d''actions'!$D$2:$D$19,B61,'Plan d''actions'!$H$2:$H$19,"En retard")</f>
        <v>2</v>
      </c>
      <c r="E61" s="43" t="n">
        <f aca="false">COUNTIFS('Plan d''actions'!$D$2:$D$19,B61,'Plan d''actions'!$H$2:$H$19,"Clôturée")</f>
        <v>0</v>
      </c>
      <c r="F61" s="43" t="n">
        <f aca="false">COUNTIFS('Plan d''actions'!$D$2:$D$19,B61,'Plan d''actions'!$H$2:$H$19,"En retard")</f>
        <v>1</v>
      </c>
      <c r="G61" s="73" t="n">
        <f aca="false">IFERROR(AVERAGEIFS('Plan d''actions'!$I$2:$I$19,'Plan d''actions'!$D$2:$D$19,B61),"—")</f>
        <v>0.25</v>
      </c>
      <c r="H61" s="43"/>
    </row>
    <row r="62" customFormat="false" ht="15" hidden="false" customHeight="true" outlineLevel="0" collapsed="false">
      <c r="B62" s="47" t="s">
        <v>103</v>
      </c>
      <c r="C62" s="46" t="n">
        <f aca="false">COUNTIF('Plan d''actions'!$D$2:$D$19,B62)</f>
        <v>2</v>
      </c>
      <c r="D62" s="46" t="n">
        <f aca="false">COUNTIFS('Plan d''actions'!$D$2:$D$19,B62,'Plan d''actions'!$H$2:$H$19,"À faire")+COUNTIFS('Plan d''actions'!$D$2:$D$19,B62,'Plan d''actions'!$H$2:$H$19,"En cours")+COUNTIFS('Plan d''actions'!$D$2:$D$19,B62,'Plan d''actions'!$H$2:$H$19,"En retard")</f>
        <v>2</v>
      </c>
      <c r="E62" s="46" t="n">
        <f aca="false">COUNTIFS('Plan d''actions'!$D$2:$D$19,B62,'Plan d''actions'!$H$2:$H$19,"Clôturée")</f>
        <v>0</v>
      </c>
      <c r="F62" s="46" t="n">
        <f aca="false">COUNTIFS('Plan d''actions'!$D$2:$D$19,B62,'Plan d''actions'!$H$2:$H$19,"En retard")</f>
        <v>0</v>
      </c>
      <c r="G62" s="74" t="n">
        <f aca="false">IFERROR(AVERAGEIFS('Plan d''actions'!$I$2:$I$19,'Plan d''actions'!$D$2:$D$19,B62),"—")</f>
        <v>0.45</v>
      </c>
      <c r="H62" s="46"/>
    </row>
    <row r="63" customFormat="false" ht="15" hidden="false" customHeight="true" outlineLevel="0" collapsed="false">
      <c r="B63" s="44" t="s">
        <v>110</v>
      </c>
      <c r="C63" s="43" t="n">
        <f aca="false">COUNTIF('Plan d''actions'!$D$2:$D$19,B63)</f>
        <v>1</v>
      </c>
      <c r="D63" s="43" t="n">
        <f aca="false">COUNTIFS('Plan d''actions'!$D$2:$D$19,B63,'Plan d''actions'!$H$2:$H$19,"À faire")+COUNTIFS('Plan d''actions'!$D$2:$D$19,B63,'Plan d''actions'!$H$2:$H$19,"En cours")+COUNTIFS('Plan d''actions'!$D$2:$D$19,B63,'Plan d''actions'!$H$2:$H$19,"En retard")</f>
        <v>1</v>
      </c>
      <c r="E63" s="43" t="n">
        <f aca="false">COUNTIFS('Plan d''actions'!$D$2:$D$19,B63,'Plan d''actions'!$H$2:$H$19,"Clôturée")</f>
        <v>0</v>
      </c>
      <c r="F63" s="43" t="n">
        <f aca="false">COUNTIFS('Plan d''actions'!$D$2:$D$19,B63,'Plan d''actions'!$H$2:$H$19,"En retard")</f>
        <v>0</v>
      </c>
      <c r="G63" s="73" t="n">
        <f aca="false">IFERROR(AVERAGEIFS('Plan d''actions'!$I$2:$I$19,'Plan d''actions'!$D$2:$D$19,B63),"—")</f>
        <v>0.4</v>
      </c>
      <c r="H63" s="43"/>
    </row>
    <row r="64" customFormat="false" ht="15" hidden="false" customHeight="true" outlineLevel="0" collapsed="false">
      <c r="B64" s="47" t="s">
        <v>116</v>
      </c>
      <c r="C64" s="46" t="n">
        <f aca="false">COUNTIF('Plan d''actions'!$D$2:$D$19,B64)</f>
        <v>2</v>
      </c>
      <c r="D64" s="46" t="n">
        <f aca="false">COUNTIFS('Plan d''actions'!$D$2:$D$19,B64,'Plan d''actions'!$H$2:$H$19,"À faire")+COUNTIFS('Plan d''actions'!$D$2:$D$19,B64,'Plan d''actions'!$H$2:$H$19,"En cours")+COUNTIFS('Plan d''actions'!$D$2:$D$19,B64,'Plan d''actions'!$H$2:$H$19,"En retard")</f>
        <v>1</v>
      </c>
      <c r="E64" s="46" t="n">
        <f aca="false">COUNTIFS('Plan d''actions'!$D$2:$D$19,B64,'Plan d''actions'!$H$2:$H$19,"Clôturée")</f>
        <v>1</v>
      </c>
      <c r="F64" s="46" t="n">
        <f aca="false">COUNTIFS('Plan d''actions'!$D$2:$D$19,B64,'Plan d''actions'!$H$2:$H$19,"En retard")</f>
        <v>0</v>
      </c>
      <c r="G64" s="74" t="n">
        <f aca="false">IFERROR(AVERAGEIFS('Plan d''actions'!$I$2:$I$19,'Plan d''actions'!$D$2:$D$19,B64),"—")</f>
        <v>0.6</v>
      </c>
      <c r="H64" s="46"/>
    </row>
    <row r="66" customFormat="false" ht="15" hidden="false" customHeight="true" outlineLevel="0" collapsed="false">
      <c r="B66" s="69" t="s">
        <v>482</v>
      </c>
      <c r="C66" s="69"/>
      <c r="D66" s="69"/>
      <c r="E66" s="69"/>
      <c r="F66" s="69"/>
      <c r="G66" s="69"/>
      <c r="H66" s="69"/>
    </row>
    <row r="67" customFormat="false" ht="20.25" hidden="false" customHeight="true" outlineLevel="0" collapsed="false">
      <c r="B67" s="70" t="s">
        <v>483</v>
      </c>
      <c r="C67" s="70" t="s">
        <v>484</v>
      </c>
      <c r="D67" s="70" t="s">
        <v>469</v>
      </c>
      <c r="E67" s="70" t="s">
        <v>485</v>
      </c>
      <c r="F67" s="70" t="s">
        <v>486</v>
      </c>
      <c r="G67" s="70"/>
      <c r="H67" s="70"/>
    </row>
    <row r="68" customFormat="false" ht="15" hidden="false" customHeight="true" outlineLevel="0" collapsed="false">
      <c r="B68" s="47" t="s">
        <v>487</v>
      </c>
      <c r="C68" s="46" t="n">
        <f aca="false">COUNTIFS('Analyse des risques'!$B$2:$B$29,"&gt;="&amp;DATE(2026,1,1),'Analyse des risques'!$B$2:$B$29,"&lt;"&amp;DATE(2026,2,1))</f>
        <v>5</v>
      </c>
      <c r="D68" s="46" t="n">
        <f aca="false">IFERROR(ROUND(AVERAGEIFS('Analyse des risques'!$U$2:$U$29,'Analyse des risques'!$B$2:$B$29,"&gt;="&amp;DATE(2026,1,1),'Analyse des risques'!$B$2:$B$29,"&lt;"&amp;DATE(2026,2,1)),0),"—")</f>
        <v>145</v>
      </c>
      <c r="E68" s="46" t="n">
        <f aca="false">COUNTIFS('Plan d''actions'!$G$2:$G$19,"&gt;="&amp;DATE(2026,1,1),'Plan d''actions'!$G$2:$G$19,"&lt;"&amp;DATE(2026,2,1))</f>
        <v>0</v>
      </c>
      <c r="F68" s="46" t="n">
        <f aca="false">COUNTIFS('Plan d''actions'!$K$2:$K$19,"&gt;="&amp;DATE(2026,1,1),'Plan d''actions'!$K$2:$K$19,"&lt;"&amp;DATE(2026,2,1))</f>
        <v>0</v>
      </c>
      <c r="G68" s="46"/>
      <c r="H68" s="46"/>
    </row>
    <row r="69" customFormat="false" ht="15" hidden="false" customHeight="true" outlineLevel="0" collapsed="false">
      <c r="B69" s="44" t="s">
        <v>488</v>
      </c>
      <c r="C69" s="43" t="n">
        <f aca="false">COUNTIFS('Analyse des risques'!$B$2:$B$29,"&gt;="&amp;DATE(2026,2,1),'Analyse des risques'!$B$2:$B$29,"&lt;"&amp;DATE(2026,3,1))</f>
        <v>6</v>
      </c>
      <c r="D69" s="43" t="n">
        <f aca="false">IFERROR(ROUND(AVERAGEIFS('Analyse des risques'!$U$2:$U$29,'Analyse des risques'!$B$2:$B$29,"&gt;="&amp;DATE(2026,2,1),'Analyse des risques'!$B$2:$B$29,"&lt;"&amp;DATE(2026,3,1)),0),"—")</f>
        <v>158</v>
      </c>
      <c r="E69" s="43" t="n">
        <f aca="false">COUNTIFS('Plan d''actions'!$G$2:$G$19,"&gt;="&amp;DATE(2026,2,1),'Plan d''actions'!$G$2:$G$19,"&lt;"&amp;DATE(2026,3,1))</f>
        <v>2</v>
      </c>
      <c r="F69" s="43" t="n">
        <f aca="false">COUNTIFS('Plan d''actions'!$K$2:$K$19,"&gt;="&amp;DATE(2026,2,1),'Plan d''actions'!$K$2:$K$19,"&lt;"&amp;DATE(2026,3,1))</f>
        <v>2</v>
      </c>
      <c r="G69" s="43"/>
      <c r="H69" s="43"/>
    </row>
    <row r="70" customFormat="false" ht="15" hidden="false" customHeight="true" outlineLevel="0" collapsed="false">
      <c r="B70" s="47" t="s">
        <v>489</v>
      </c>
      <c r="C70" s="46" t="n">
        <f aca="false">COUNTIFS('Analyse des risques'!$B$2:$B$29,"&gt;="&amp;DATE(2026,3,1),'Analyse des risques'!$B$2:$B$29,"&lt;"&amp;DATE(2026,4,1))</f>
        <v>8</v>
      </c>
      <c r="D70" s="46" t="n">
        <f aca="false">IFERROR(ROUND(AVERAGEIFS('Analyse des risques'!$U$2:$U$29,'Analyse des risques'!$B$2:$B$29,"&gt;="&amp;DATE(2026,3,1),'Analyse des risques'!$B$2:$B$29,"&lt;"&amp;DATE(2026,4,1)),0),"—")</f>
        <v>95</v>
      </c>
      <c r="E70" s="46" t="n">
        <f aca="false">COUNTIFS('Plan d''actions'!$G$2:$G$19,"&gt;="&amp;DATE(2026,3,1),'Plan d''actions'!$G$2:$G$19,"&lt;"&amp;DATE(2026,4,1))</f>
        <v>1</v>
      </c>
      <c r="F70" s="46" t="n">
        <f aca="false">COUNTIFS('Plan d''actions'!$K$2:$K$19,"&gt;="&amp;DATE(2026,3,1),'Plan d''actions'!$K$2:$K$19,"&lt;"&amp;DATE(2026,4,1))</f>
        <v>1</v>
      </c>
      <c r="G70" s="46"/>
      <c r="H70" s="46"/>
    </row>
    <row r="71" customFormat="false" ht="15" hidden="false" customHeight="true" outlineLevel="0" collapsed="false">
      <c r="B71" s="44" t="s">
        <v>490</v>
      </c>
      <c r="C71" s="43" t="n">
        <f aca="false">COUNTIFS('Analyse des risques'!$B$2:$B$29,"&gt;="&amp;DATE(2026,4,1),'Analyse des risques'!$B$2:$B$29,"&lt;"&amp;DATE(2026,5,1))</f>
        <v>4</v>
      </c>
      <c r="D71" s="43" t="n">
        <f aca="false">IFERROR(ROUND(AVERAGEIFS('Analyse des risques'!$U$2:$U$29,'Analyse des risques'!$B$2:$B$29,"&gt;="&amp;DATE(2026,4,1),'Analyse des risques'!$B$2:$B$29,"&lt;"&amp;DATE(2026,5,1)),0),"—")</f>
        <v>159</v>
      </c>
      <c r="E71" s="43" t="n">
        <f aca="false">COUNTIFS('Plan d''actions'!$G$2:$G$19,"&gt;="&amp;DATE(2026,4,1),'Plan d''actions'!$G$2:$G$19,"&lt;"&amp;DATE(2026,5,1))</f>
        <v>2</v>
      </c>
      <c r="F71" s="43" t="n">
        <f aca="false">COUNTIFS('Plan d''actions'!$K$2:$K$19,"&gt;="&amp;DATE(2026,4,1),'Plan d''actions'!$K$2:$K$19,"&lt;"&amp;DATE(2026,5,1))</f>
        <v>2</v>
      </c>
      <c r="G71" s="43"/>
      <c r="H71" s="43"/>
    </row>
    <row r="72" customFormat="false" ht="15" hidden="false" customHeight="true" outlineLevel="0" collapsed="false">
      <c r="B72" s="47" t="s">
        <v>491</v>
      </c>
      <c r="C72" s="46" t="n">
        <f aca="false">COUNTIFS('Analyse des risques'!$B$2:$B$29,"&gt;="&amp;DATE(2026,5,1),'Analyse des risques'!$B$2:$B$29,"&lt;"&amp;DATE(2026,6,1))</f>
        <v>4</v>
      </c>
      <c r="D72" s="46" t="n">
        <f aca="false">IFERROR(ROUND(AVERAGEIFS('Analyse des risques'!$U$2:$U$29,'Analyse des risques'!$B$2:$B$29,"&gt;="&amp;DATE(2026,5,1),'Analyse des risques'!$B$2:$B$29,"&lt;"&amp;DATE(2026,6,1)),0),"—")</f>
        <v>115</v>
      </c>
      <c r="E72" s="46" t="n">
        <f aca="false">COUNTIFS('Plan d''actions'!$G$2:$G$19,"&gt;="&amp;DATE(2026,5,1),'Plan d''actions'!$G$2:$G$19,"&lt;"&amp;DATE(2026,6,1))</f>
        <v>2</v>
      </c>
      <c r="F72" s="46" t="n">
        <f aca="false">COUNTIFS('Plan d''actions'!$K$2:$K$19,"&gt;="&amp;DATE(2026,5,1),'Plan d''actions'!$K$2:$K$19,"&lt;"&amp;DATE(2026,6,1))</f>
        <v>1</v>
      </c>
      <c r="G72" s="46"/>
      <c r="H72" s="46"/>
    </row>
    <row r="73" customFormat="false" ht="15" hidden="false" customHeight="true" outlineLevel="0" collapsed="false">
      <c r="B73" s="44" t="s">
        <v>492</v>
      </c>
      <c r="C73" s="43" t="n">
        <f aca="false">COUNTIFS('Analyse des risques'!$B$2:$B$29,"&gt;="&amp;DATE(2026,6,1),'Analyse des risques'!$B$2:$B$29,"&lt;"&amp;DATE(2026,7,1))</f>
        <v>1</v>
      </c>
      <c r="D73" s="43" t="n">
        <f aca="false">IFERROR(ROUND(AVERAGEIFS('Analyse des risques'!$U$2:$U$29,'Analyse des risques'!$B$2:$B$29,"&gt;="&amp;DATE(2026,6,1),'Analyse des risques'!$B$2:$B$29,"&lt;"&amp;DATE(2026,7,1)),0),"—")</f>
        <v>48</v>
      </c>
      <c r="E73" s="43" t="n">
        <f aca="false">COUNTIFS('Plan d''actions'!$G$2:$G$19,"&gt;="&amp;DATE(2026,6,1),'Plan d''actions'!$G$2:$G$19,"&lt;"&amp;DATE(2026,7,1))</f>
        <v>3</v>
      </c>
      <c r="F73" s="43" t="n">
        <f aca="false">COUNTIFS('Plan d''actions'!$K$2:$K$19,"&gt;="&amp;DATE(2026,6,1),'Plan d''actions'!$K$2:$K$19,"&lt;"&amp;DATE(2026,7,1))</f>
        <v>0</v>
      </c>
      <c r="G73" s="43"/>
      <c r="H73" s="43"/>
    </row>
    <row r="74" customFormat="false" ht="15" hidden="false" customHeight="true" outlineLevel="0" collapsed="false">
      <c r="B74" s="47" t="s">
        <v>493</v>
      </c>
      <c r="C74" s="46" t="n">
        <f aca="false">COUNTIFS('Analyse des risques'!$B$2:$B$29,"&gt;="&amp;DATE(2026,7,1),'Analyse des risques'!$B$2:$B$29,"&lt;"&amp;DATE(2026,8,1))</f>
        <v>0</v>
      </c>
      <c r="D74" s="46" t="str">
        <f aca="false">IFERROR(ROUND(AVERAGEIFS('Analyse des risques'!$U$2:$U$29,'Analyse des risques'!$B$2:$B$29,"&gt;="&amp;DATE(2026,7,1),'Analyse des risques'!$B$2:$B$29,"&lt;"&amp;DATE(2026,8,1)),0),"—")</f>
        <v>—</v>
      </c>
      <c r="E74" s="46" t="n">
        <f aca="false">COUNTIFS('Plan d''actions'!$G$2:$G$19,"&gt;="&amp;DATE(2026,7,1),'Plan d''actions'!$G$2:$G$19,"&lt;"&amp;DATE(2026,8,1))</f>
        <v>3</v>
      </c>
      <c r="F74" s="46" t="n">
        <f aca="false">COUNTIFS('Plan d''actions'!$K$2:$K$19,"&gt;="&amp;DATE(2026,7,1),'Plan d''actions'!$K$2:$K$19,"&lt;"&amp;DATE(2026,8,1))</f>
        <v>0</v>
      </c>
      <c r="G74" s="46"/>
      <c r="H74" s="46"/>
    </row>
    <row r="75" customFormat="false" ht="15" hidden="false" customHeight="true" outlineLevel="0" collapsed="false">
      <c r="B75" s="44" t="s">
        <v>494</v>
      </c>
      <c r="C75" s="43" t="n">
        <f aca="false">COUNTIFS('Analyse des risques'!$B$2:$B$29,"&gt;="&amp;DATE(2026,8,1),'Analyse des risques'!$B$2:$B$29,"&lt;"&amp;DATE(2026,9,1))</f>
        <v>0</v>
      </c>
      <c r="D75" s="43" t="str">
        <f aca="false">IFERROR(ROUND(AVERAGEIFS('Analyse des risques'!$U$2:$U$29,'Analyse des risques'!$B$2:$B$29,"&gt;="&amp;DATE(2026,8,1),'Analyse des risques'!$B$2:$B$29,"&lt;"&amp;DATE(2026,9,1)),0),"—")</f>
        <v>—</v>
      </c>
      <c r="E75" s="43" t="n">
        <f aca="false">COUNTIFS('Plan d''actions'!$G$2:$G$19,"&gt;="&amp;DATE(2026,8,1),'Plan d''actions'!$G$2:$G$19,"&lt;"&amp;DATE(2026,9,1))</f>
        <v>2</v>
      </c>
      <c r="F75" s="43" t="n">
        <f aca="false">COUNTIFS('Plan d''actions'!$K$2:$K$19,"&gt;="&amp;DATE(2026,8,1),'Plan d''actions'!$K$2:$K$19,"&lt;"&amp;DATE(2026,9,1))</f>
        <v>0</v>
      </c>
      <c r="G75" s="43"/>
      <c r="H75" s="43"/>
    </row>
    <row r="76" customFormat="false" ht="15" hidden="false" customHeight="true" outlineLevel="0" collapsed="false">
      <c r="B76" s="47" t="s">
        <v>495</v>
      </c>
      <c r="C76" s="46" t="n">
        <f aca="false">COUNTIFS('Analyse des risques'!$B$2:$B$29,"&gt;="&amp;DATE(2026,9,1),'Analyse des risques'!$B$2:$B$29,"&lt;"&amp;DATE(2026,10,1))</f>
        <v>0</v>
      </c>
      <c r="D76" s="46" t="str">
        <f aca="false">IFERROR(ROUND(AVERAGEIFS('Analyse des risques'!$U$2:$U$29,'Analyse des risques'!$B$2:$B$29,"&gt;="&amp;DATE(2026,9,1),'Analyse des risques'!$B$2:$B$29,"&lt;"&amp;DATE(2026,10,1)),0),"—")</f>
        <v>—</v>
      </c>
      <c r="E76" s="46" t="n">
        <f aca="false">COUNTIFS('Plan d''actions'!$G$2:$G$19,"&gt;="&amp;DATE(2026,9,1),'Plan d''actions'!$G$2:$G$19,"&lt;"&amp;DATE(2026,10,1))</f>
        <v>2</v>
      </c>
      <c r="F76" s="46" t="n">
        <f aca="false">COUNTIFS('Plan d''actions'!$K$2:$K$19,"&gt;="&amp;DATE(2026,9,1),'Plan d''actions'!$K$2:$K$19,"&lt;"&amp;DATE(2026,10,1))</f>
        <v>0</v>
      </c>
      <c r="G76" s="46"/>
      <c r="H76" s="46"/>
    </row>
    <row r="77" customFormat="false" ht="15" hidden="false" customHeight="true" outlineLevel="0" collapsed="false">
      <c r="B77" s="44" t="s">
        <v>496</v>
      </c>
      <c r="C77" s="43" t="n">
        <f aca="false">COUNTIFS('Analyse des risques'!$B$2:$B$29,"&gt;="&amp;DATE(2026,10,1),'Analyse des risques'!$B$2:$B$29,"&lt;"&amp;DATE(2026,11,1))</f>
        <v>0</v>
      </c>
      <c r="D77" s="43" t="str">
        <f aca="false">IFERROR(ROUND(AVERAGEIFS('Analyse des risques'!$U$2:$U$29,'Analyse des risques'!$B$2:$B$29,"&gt;="&amp;DATE(2026,10,1),'Analyse des risques'!$B$2:$B$29,"&lt;"&amp;DATE(2026,11,1)),0),"—")</f>
        <v>—</v>
      </c>
      <c r="E77" s="43" t="n">
        <f aca="false">COUNTIFS('Plan d''actions'!$G$2:$G$19,"&gt;="&amp;DATE(2026,10,1),'Plan d''actions'!$G$2:$G$19,"&lt;"&amp;DATE(2026,11,1))</f>
        <v>1</v>
      </c>
      <c r="F77" s="43" t="n">
        <f aca="false">COUNTIFS('Plan d''actions'!$K$2:$K$19,"&gt;="&amp;DATE(2026,10,1),'Plan d''actions'!$K$2:$K$19,"&lt;"&amp;DATE(2026,11,1))</f>
        <v>0</v>
      </c>
      <c r="G77" s="43"/>
      <c r="H77" s="43"/>
    </row>
    <row r="78" customFormat="false" ht="15" hidden="false" customHeight="true" outlineLevel="0" collapsed="false">
      <c r="B78" s="47" t="s">
        <v>497</v>
      </c>
      <c r="C78" s="46" t="n">
        <f aca="false">COUNTIFS('Analyse des risques'!$B$2:$B$29,"&gt;="&amp;DATE(2026,11,1),'Analyse des risques'!$B$2:$B$29,"&lt;"&amp;DATE(2026,12,1))</f>
        <v>0</v>
      </c>
      <c r="D78" s="46" t="str">
        <f aca="false">IFERROR(ROUND(AVERAGEIFS('Analyse des risques'!$U$2:$U$29,'Analyse des risques'!$B$2:$B$29,"&gt;="&amp;DATE(2026,11,1),'Analyse des risques'!$B$2:$B$29,"&lt;"&amp;DATE(2026,12,1)),0),"—")</f>
        <v>—</v>
      </c>
      <c r="E78" s="46" t="n">
        <f aca="false">COUNTIFS('Plan d''actions'!$G$2:$G$19,"&gt;="&amp;DATE(2026,11,1),'Plan d''actions'!$G$2:$G$19,"&lt;"&amp;DATE(2026,12,1))</f>
        <v>0</v>
      </c>
      <c r="F78" s="46" t="n">
        <f aca="false">COUNTIFS('Plan d''actions'!$K$2:$K$19,"&gt;="&amp;DATE(2026,11,1),'Plan d''actions'!$K$2:$K$19,"&lt;"&amp;DATE(2026,12,1))</f>
        <v>0</v>
      </c>
      <c r="G78" s="46"/>
      <c r="H78" s="46"/>
    </row>
    <row r="79" customFormat="false" ht="15" hidden="false" customHeight="true" outlineLevel="0" collapsed="false">
      <c r="B79" s="44" t="s">
        <v>498</v>
      </c>
      <c r="C79" s="43" t="n">
        <f aca="false">COUNTIFS('Analyse des risques'!$B$2:$B$29,"&gt;="&amp;DATE(2026,12,1),'Analyse des risques'!$B$2:$B$29,"&lt;"&amp;DATE(2027,1,1))</f>
        <v>0</v>
      </c>
      <c r="D79" s="43" t="str">
        <f aca="false">IFERROR(ROUND(AVERAGEIFS('Analyse des risques'!$U$2:$U$29,'Analyse des risques'!$B$2:$B$29,"&gt;="&amp;DATE(2026,12,1),'Analyse des risques'!$B$2:$B$29,"&lt;"&amp;DATE(2027,1,1)),0),"—")</f>
        <v>—</v>
      </c>
      <c r="E79" s="43" t="n">
        <f aca="false">COUNTIFS('Plan d''actions'!$G$2:$G$19,"&gt;="&amp;DATE(2026,12,1),'Plan d''actions'!$G$2:$G$19,"&lt;"&amp;DATE(2027,1,1))</f>
        <v>0</v>
      </c>
      <c r="F79" s="43" t="n">
        <f aca="false">COUNTIFS('Plan d''actions'!$K$2:$K$19,"&gt;="&amp;DATE(2026,12,1),'Plan d''actions'!$K$2:$K$19,"&lt;"&amp;DATE(2027,1,1))</f>
        <v>0</v>
      </c>
      <c r="G79" s="43"/>
      <c r="H79" s="43"/>
    </row>
    <row r="81" customFormat="false" ht="27.75" hidden="false" customHeight="true" outlineLevel="0" collapsed="false">
      <c r="B81" s="41" t="s">
        <v>499</v>
      </c>
      <c r="C81" s="41"/>
      <c r="D81" s="41"/>
      <c r="E81" s="41"/>
      <c r="F81" s="41"/>
      <c r="G81" s="41"/>
      <c r="H81" s="41"/>
    </row>
    <row r="82" customFormat="false" ht="15" hidden="false" customHeight="true" outlineLevel="0" collapsed="false">
      <c r="B82" s="63" t="s">
        <v>500</v>
      </c>
    </row>
    <row r="83" customFormat="false" ht="15" hidden="false" customHeight="true" outlineLevel="0" collapsed="false">
      <c r="B83" s="70" t="s">
        <v>194</v>
      </c>
      <c r="C83" s="70" t="s">
        <v>30</v>
      </c>
      <c r="D83" s="70" t="s">
        <v>25</v>
      </c>
      <c r="E83" s="70" t="s">
        <v>195</v>
      </c>
      <c r="F83" s="70" t="s">
        <v>196</v>
      </c>
    </row>
    <row r="84" customFormat="false" ht="15" hidden="false" customHeight="true" outlineLevel="0" collapsed="false">
      <c r="B84" s="14" t="str">
        <f aca="false">IFERROR(_xlfn.let(_xlpm.crit,'Analyse des risques'!$U$2:$U$29,_xlpm.ok,(_xlpm.crit&gt;Seuil_Moyen),_xlfn._xlws.sort(_xlfn._xlws.filter(CHOOSE({1,2,3,4,5},'Analyse des risques'!$A$2:$A$29,'Analyse des risques'!$J$2:$J$29,'Analyse des risques'!$E$2:$E$29,'Analyse des risques'!$U$2:$U$29,'Analyse des risques'!$V$2:$V$29),_xlpm.ok),4,-1)),"")</f>
        <v/>
      </c>
    </row>
  </sheetData>
  <mergeCells count="8">
    <mergeCell ref="B1:H1"/>
    <mergeCell ref="B3:H3"/>
    <mergeCell ref="B16:H16"/>
    <mergeCell ref="B25:H25"/>
    <mergeCell ref="B40:H40"/>
    <mergeCell ref="B55:H55"/>
    <mergeCell ref="B66:H66"/>
    <mergeCell ref="B81:H81"/>
  </mergeCells>
  <conditionalFormatting sqref="C5:C14">
    <cfRule type="dataBar" priority="2">
      <dataBar showValue="1" minLength="10" maxLength="90">
        <cfvo type="min" val="0"/>
        <cfvo type="max" val="0"/>
        <color rgb="FF2E75B6"/>
      </dataBar>
      <extLst>
        <ext xmlns:x14="http://schemas.microsoft.com/office/spreadsheetml/2009/9/main" uri="{B025F937-C7B1-47D3-B67F-A62EFF666E3E}">
          <x14:id>{D75DF57F-B041-4754-AE9A-13D664BE2B80}</x14:id>
        </ext>
      </extLst>
    </cfRule>
  </conditionalFormatting>
  <conditionalFormatting sqref="E5:E14">
    <cfRule type="cellIs" priority="3" operator="greaterThan" aboveAverage="0" equalAverage="0" bottom="0" percent="0" rank="0" text="" dxfId="24">
      <formula>0</formula>
    </cfRule>
  </conditionalFormatting>
  <conditionalFormatting sqref="C18:C23">
    <cfRule type="dataBar" priority="4">
      <dataBar showValue="1" minLength="10" maxLength="90">
        <cfvo type="min" val="0"/>
        <cfvo type="max" val="0"/>
        <color rgb="FF2E75B6"/>
      </dataBar>
      <extLst>
        <ext xmlns:x14="http://schemas.microsoft.com/office/spreadsheetml/2009/9/main" uri="{B025F937-C7B1-47D3-B67F-A62EFF666E3E}">
          <x14:id>{9BB7FD2A-FE9E-4148-9F73-BF218BF3A41D}</x14:id>
        </ext>
      </extLst>
    </cfRule>
  </conditionalFormatting>
  <conditionalFormatting sqref="E18:E23">
    <cfRule type="cellIs" priority="5" operator="greaterThan" aboveAverage="0" equalAverage="0" bottom="0" percent="0" rank="0" text="" dxfId="24">
      <formula>0</formula>
    </cfRule>
  </conditionalFormatting>
  <conditionalFormatting sqref="C27:C38">
    <cfRule type="dataBar" priority="6">
      <dataBar showValue="1" minLength="10" maxLength="90">
        <cfvo type="min" val="0"/>
        <cfvo type="max" val="0"/>
        <color rgb="FF2E75B6"/>
      </dataBar>
      <extLst>
        <ext xmlns:x14="http://schemas.microsoft.com/office/spreadsheetml/2009/9/main" uri="{B025F937-C7B1-47D3-B67F-A62EFF666E3E}">
          <x14:id>{514C45D7-6425-4031-9DE2-543F218CE22A}</x14:id>
        </ext>
      </extLst>
    </cfRule>
  </conditionalFormatting>
  <conditionalFormatting sqref="E27:E38">
    <cfRule type="cellIs" priority="7" operator="greaterThan" aboveAverage="0" equalAverage="0" bottom="0" percent="0" rank="0" text="" dxfId="24">
      <formula>0</formula>
    </cfRule>
  </conditionalFormatting>
  <conditionalFormatting sqref="C42:C53">
    <cfRule type="dataBar" priority="8">
      <dataBar showValue="1" minLength="10" maxLength="90">
        <cfvo type="min" val="0"/>
        <cfvo type="max" val="0"/>
        <color rgb="FF2E75B6"/>
      </dataBar>
      <extLst>
        <ext xmlns:x14="http://schemas.microsoft.com/office/spreadsheetml/2009/9/main" uri="{B025F937-C7B1-47D3-B67F-A62EFF666E3E}">
          <x14:id>{3115BEF1-F682-4F57-838E-3B84445F8610}</x14:id>
        </ext>
      </extLst>
    </cfRule>
  </conditionalFormatting>
  <conditionalFormatting sqref="E42:E53">
    <cfRule type="cellIs" priority="9" operator="greaterThan" aboveAverage="0" equalAverage="0" bottom="0" percent="0" rank="0" text="" dxfId="24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75DF57F-B041-4754-AE9A-13D664BE2B80}">
            <x14:dataBar minLength="10" maxLength="90" axisPosition="none" gradient="true">
              <x14:cfvo type="min"/>
              <x14:cfvo type="max"/>
              <x14:negativeFillColor rgb="FF2E75B6"/>
              <x14:axisColor rgb="FF000000"/>
            </x14:dataBar>
          </x14:cfRule>
          <xm:sqref>C5:C14</xm:sqref>
        </x14:conditionalFormatting>
        <x14:conditionalFormatting xmlns:xm="http://schemas.microsoft.com/office/excel/2006/main">
          <x14:cfRule type="dataBar" id="{9BB7FD2A-FE9E-4148-9F73-BF218BF3A41D}">
            <x14:dataBar minLength="10" maxLength="90" axisPosition="none" gradient="true">
              <x14:cfvo type="min"/>
              <x14:cfvo type="max"/>
              <x14:negativeFillColor rgb="FF2E75B6"/>
              <x14:axisColor rgb="FF000000"/>
            </x14:dataBar>
          </x14:cfRule>
          <xm:sqref>C18:C23</xm:sqref>
        </x14:conditionalFormatting>
        <x14:conditionalFormatting xmlns:xm="http://schemas.microsoft.com/office/excel/2006/main">
          <x14:cfRule type="dataBar" id="{514C45D7-6425-4031-9DE2-543F218CE22A}">
            <x14:dataBar minLength="10" maxLength="90" axisPosition="none" gradient="true">
              <x14:cfvo type="min"/>
              <x14:cfvo type="max"/>
              <x14:negativeFillColor rgb="FF2E75B6"/>
              <x14:axisColor rgb="FF000000"/>
            </x14:dataBar>
          </x14:cfRule>
          <xm:sqref>C27:C38</xm:sqref>
        </x14:conditionalFormatting>
        <x14:conditionalFormatting xmlns:xm="http://schemas.microsoft.com/office/excel/2006/main">
          <x14:cfRule type="dataBar" id="{3115BEF1-F682-4F57-838E-3B84445F8610}">
            <x14:dataBar minLength="10" maxLength="90" axisPosition="none" gradient="true">
              <x14:cfvo type="min"/>
              <x14:cfvo type="max"/>
              <x14:negativeFillColor rgb="FF2E75B6"/>
              <x14:axisColor rgb="FF000000"/>
            </x14:dataBar>
          </x14:cfRule>
          <xm:sqref>C42:C53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2026-07-03T22:12:32Z</dcterms:created>
  <dc:creator>openpyxl</dc:creator>
  <dc:description/>
  <dc:language>en-US</dc:language>
  <cp:lastModifiedBy/>
  <dcterms:modified xsi:type="dcterms:W3CDTF">2026-07-03T22:13:10Z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