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3.xml.rels" ContentType="application/vnd.openxmlformats-package.relationships+xml"/>
  <Override PartName="/xl/worksheets/_rels/sheet2.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tables/table1.xml" ContentType="application/vnd.openxmlformats-officedocument.spreadsheetml.table+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 MODE D'EMPLOI" sheetId="1" state="visible" r:id="rId3"/>
    <sheet name="📊 TABLEAU DE BORD" sheetId="2" state="visible" r:id="rId4"/>
    <sheet name="🧪 INVENTAIRE" sheetId="3" state="visible" r:id="rId5"/>
    <sheet name="⚠️ MATRICE DE RISQUE" sheetId="4" state="visible" r:id="rId6"/>
    <sheet name="🔴 PLAN D'ACTIONS" sheetId="5" state="visible" r:id="rId7"/>
    <sheet name="📅 SUIVI FDS" sheetId="6" state="visible" r:id="rId8"/>
    <sheet name="⚙️ PARAMÈTRES" sheetId="7" state="visible" r:id="rId9"/>
    <sheet name="📖 RÉFÉRENTIEL H-P" sheetId="8" state="visible" r:id="rId10"/>
    <sheet name="🧮 CALCULS (auto)" sheetId="9" state="hidden" r:id="rId11"/>
  </sheets>
  <definedNames>
    <definedName function="false" hidden="false" localSheetId="3" name="_xlnm.Print_Area" vbProcedure="false">'⚠️ MATRICE DE RISQUE'!$A$1:$L$32</definedName>
    <definedName function="false" hidden="false" localSheetId="5" name="_xlnm.Print_Area" vbProcedure="false">'📅 SUIVI FDS'!$A$1:$J$65</definedName>
    <definedName function="false" hidden="false" localSheetId="5" name="_xlnm.Print_Titles" vbProcedure="false">'📅 SUIVI FDS'!$1:$5</definedName>
    <definedName function="false" hidden="false" localSheetId="1" name="_xlnm.Print_Area" vbProcedure="false">'📊 TABLEAU DE BORD'!$A$1:$T$63</definedName>
    <definedName function="false" hidden="false" localSheetId="0" name="_xlnm.Print_Area" vbProcedure="false">'📘 MODE D''EMPLOI'!$A$1:$L$110</definedName>
    <definedName function="false" hidden="false" localSheetId="4" name="_xlnm.Print_Area" vbProcedure="false">'🔴 PLAN D''ACTIONS'!$A$1:$J$65</definedName>
    <definedName function="false" hidden="false" localSheetId="4" name="_xlnm.Print_Titles" vbProcedure="false">'🔴 PLAN D''ACTIONS'!$1:$5</definedName>
    <definedName function="false" hidden="false" localSheetId="2" name="_xlnm.Print_Area" vbProcedure="false">'🧪 INVENTAIRE'!$A$1:$BK$62</definedName>
    <definedName function="false" hidden="false" localSheetId="2" name="_xlnm.Print_Titles" vbProcedure="false">'🧪 INVENTAIRE'!$1:$2</definedName>
    <definedName function="false" hidden="false" name="CleAct" vbProcedure="false">'🧮 CALCULS (auto)'!$B$2:$B$321</definedName>
    <definedName function="false" hidden="false" name="CleFDS" vbProcedure="false">'🧮 CALCULS (auto)'!$A$2:$A$321</definedName>
    <definedName function="false" hidden="false" name="CleQte" vbProcedure="false">'🧮 CALCULS (auto)'!$C$2:$C$321</definedName>
    <definedName function="false" hidden="false" name="Inv_Action" vbProcedure="false">'🧪 INVENTAIRE'!$BC$3:$BC$322</definedName>
    <definedName function="false" hidden="false" name="Inv_Atelier" vbProcedure="false">'🧪 INVENTAIRE'!$K$3:$K$322</definedName>
    <definedName function="false" hidden="false" name="Inv_Auth" vbProcedure="false">'🧪 INVENTAIRE'!$AD$3:$AD$322</definedName>
    <definedName function="false" hidden="false" name="Inv_Avc" vbProcedure="false">'🧪 INVENTAIRE'!$BF$3:$BF$322</definedName>
    <definedName function="false" hidden="false" name="Inv_Brut" vbProcedure="false">'🧪 INVENTAIRE'!$AY$3:$AY$322</definedName>
    <definedName function="false" hidden="false" name="Inv_CMR" vbProcedure="false">'🧪 INVENTAIRE'!$AB$3:$AB$322</definedName>
    <definedName function="false" hidden="false" name="Inv_DateFDS" vbProcedure="false">'🧪 INVENTAIRE'!$AH$3:$AH$322</definedName>
    <definedName function="false" hidden="false" name="Inv_DemFDS" vbProcedure="false">'🧪 INVENTAIRE'!$AM$3:$AM$322</definedName>
    <definedName function="false" hidden="false" name="Inv_Ech" vbProcedure="false">'🧪 INVENTAIRE'!$BE$3:$BE$322</definedName>
    <definedName function="false" hidden="false" name="Inv_Fourn" vbProcedure="false">'🧪 INVENTAIRE'!$G$3:$G$322</definedName>
    <definedName function="false" hidden="false" name="Inv_Grav" vbProcedure="false">'🧪 INVENTAIRE'!$AW$3:$AW$322</definedName>
    <definedName function="false" hidden="false" name="Inv_Nom" vbProcedure="false">'🧪 INVENTAIRE'!$B$3:$B$322</definedName>
    <definedName function="false" hidden="false" name="Inv_Num" vbProcedure="false">'🧪 INVENTAIRE'!$A$3:$A$322</definedName>
    <definedName function="false" hidden="false" name="Inv_Pictos" vbProcedure="false">'🧪 INVENTAIRE'!$T$3:$W$322</definedName>
    <definedName function="false" hidden="false" name="Inv_Pilote" vbProcedure="false">'🧪 INVENTAIRE'!$BD$3:$BD$322</definedName>
    <definedName function="false" hidden="false" name="Inv_Prio" vbProcedure="false">'🧪 INVENTAIRE'!$BB$3:$BB$322</definedName>
    <definedName function="false" hidden="false" name="Inv_Prob" vbProcedure="false">'🧪 INVENTAIRE'!$AX$3:$AX$322</definedName>
    <definedName function="false" hidden="false" name="Inv_ProchVerif" vbProcedure="false">'🧪 INVENTAIRE'!$AJ$3:$AJ$322</definedName>
    <definedName function="false" hidden="false" name="Inv_Qte" vbProcedure="false">'🧪 INVENTAIRE'!$O$3:$O$322</definedName>
    <definedName function="false" hidden="false" name="Inv_RecFDS" vbProcedure="false">'🧪 INVENTAIRE'!$AN$3:$AN$322</definedName>
    <definedName function="false" hidden="false" name="Inv_Res" vbProcedure="false">'🧪 INVENTAIRE'!$BA$3:$BA$322</definedName>
    <definedName function="false" hidden="false" name="Inv_Site" vbProcedure="false">'🧪 INVENTAIRE'!$I$3:$I$322</definedName>
    <definedName function="false" hidden="false" name="Inv_StatAct" vbProcedure="false">'🧪 INVENTAIRE'!$BG$3:$BG$322</definedName>
    <definedName function="false" hidden="false" name="Inv_StatutFDS" vbProcedure="false">'🧪 INVENTAIRE'!$AK$3:$AK$322</definedName>
    <definedName function="false" hidden="false" name="Inv_Unite" vbProcedure="false">'🧪 INVENTAIRE'!$P$3:$P$322</definedName>
    <definedName function="false" hidden="false" name="L_Ateliers" vbProcedure="false">OFFSET('⚙️ PARAMÈTRES'!$B$5,0,0,COUNTA('⚙️ PARAMÈTRES'!$B$5:$B$64),1)</definedName>
    <definedName function="false" hidden="false" name="L_Avert" vbProcedure="false">OFFSET('⚙️ PARAMÈTRES'!$H$5,0,0,COUNTA('⚙️ PARAMÈTRES'!$H$5:$H$64),1)</definedName>
    <definedName function="false" hidden="false" name="L_CatCMR" vbProcedure="false">OFFSET('⚙️ PARAMÈTRES'!$J$5,0,0,COUNTA('⚙️ PARAMÈTRES'!$J$5:$J$64),1)</definedName>
    <definedName function="false" hidden="false" name="L_Cond" vbProcedure="false">OFFSET('⚙️ PARAMÈTRES'!$D$5,0,0,COUNTA('⚙️ PARAMÈTRES'!$D$5:$D$64),1)</definedName>
    <definedName function="false" hidden="false" name="L_EPI" vbProcedure="false">OFFSET('⚙️ PARAMÈTRES'!$F$5,0,0,COUNTA('⚙️ PARAMÈTRES'!$F$5:$F$64),1)</definedName>
    <definedName function="false" hidden="false" name="L_Fournisseurs" vbProcedure="false">OFFSET('⚙️ PARAMÈTRES'!$C$5,0,0,COUNTA('⚙️ PARAMÈTRES'!$C$5:$C$64),1)</definedName>
    <definedName function="false" hidden="false" name="L_Freq" vbProcedure="false">OFFSET('⚙️ PARAMÈTRES'!$M$5,0,0,COUNTA('⚙️ PARAMÈTRES'!$M$5:$M$64),1)</definedName>
    <definedName function="false" hidden="false" name="L_Langues" vbProcedure="false">OFFSET('⚙️ PARAMÈTRES'!$K$5,0,0,COUNTA('⚙️ PARAMÈTRES'!$K$5:$K$64),1)</definedName>
    <definedName function="false" hidden="false" name="L_OuiNon" vbProcedure="false">OFFSET('⚙️ PARAMÈTRES'!$I$5,0,0,COUNTA('⚙️ PARAMÈTRES'!$I$5:$I$64),1)</definedName>
    <definedName function="false" hidden="false" name="L_Pictos" vbProcedure="false">OFFSET('⚙️ PARAMÈTRES'!$G$5,0,0,COUNTA('⚙️ PARAMÈTRES'!$G$5:$G$64),1)</definedName>
    <definedName function="false" hidden="false" name="L_Sites" vbProcedure="false">OFFSET('⚙️ PARAMÈTRES'!$A$5,0,0,COUNTA('⚙️ PARAMÈTRES'!$A$5:$A$64),1)</definedName>
    <definedName function="false" hidden="false" name="L_StatAct" vbProcedure="false">OFFSET('⚙️ PARAMÈTRES'!$N$5,0,0,COUNTA('⚙️ PARAMÈTRES'!$N$5:$N$64),1)</definedName>
    <definedName function="false" hidden="false" name="L_Unites" vbProcedure="false">OFFSET('⚙️ PARAMÈTRES'!$E$5,0,0,COUNTA('⚙️ PARAMÈTRES'!$E$5:$E$64),1)</definedName>
    <definedName function="false" hidden="false" name="L_Voies" vbProcedure="false">OFFSET('⚙️ PARAMÈTRES'!$L$5,0,0,COUNTA('⚙️ PARAMÈTRES'!$L$5:$L$64),1)</definedName>
    <definedName function="false" hidden="false" name="NbProduits" vbProcedure="false">'🧮 CALCULS (auto)'!$X$2</definedName>
    <definedName function="false" hidden="false" name="RefH_Classe" vbProcedure="false">'📖 RÉFÉRENTIEL H-P'!$C$5:$C$69</definedName>
    <definedName function="false" hidden="false" name="RefH_Code" vbProcedure="false">'📖 RÉFÉRENTIEL H-P'!$A$5:$A$69</definedName>
    <definedName function="false" hidden="false" name="RefH_Lib" vbProcedure="false">'📖 RÉFÉRENTIEL H-P'!$B$5:$B$69</definedName>
    <definedName function="false" hidden="false" name="TauxConformite" vbProcedure="false">'📊 TABLEAU DE BORD'!$Q$9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<sst xmlns="http://schemas.openxmlformats.org/spreadsheetml/2006/main" count="1496" uniqueCount="877">
  <si>
    <t xml:space="preserve">SECUR</t>
  </si>
  <si>
    <t xml:space="preserve">EX</t>
  </si>
  <si>
    <t xml:space="preserve">Les experts en sécurité</t>
  </si>
  <si>
    <t xml:space="preserve">REGISTRE DES RISQUES CHIMIQUES — MODE D'EMPLOI</t>
  </si>
  <si>
    <t xml:space="preserve">Inventaire des produits chimiques &amp; suivi des FDS · CLP (CE 1272/2008) · REACH · ISO 45001 · Code du travail</t>
  </si>
  <si>
    <t xml:space="preserve">1 · À QUOI SERT CE REGISTRE ?</t>
  </si>
  <si>
    <t xml:space="preserve">Ce classeur est le registre unique des produits chimiques présents sur les sites Securex. Il permet d'inventorier chaque produit et sa localisation, de connaître ses dangers (pictogrammes SGH, mentions H), de garantir la disponibilité et la fraîcheur des Fiches de Données de Sécurité (FDS), d'évaluer et hiérarchiser les risques, puis de piloter les actions de prévention.</t>
  </si>
  <si>
    <t xml:space="preserve">Cadre de référence, en clair : le règlement CLP (CE 1272/2008) définit la classification et l'étiquetage des dangers ; REACH encadre les substances mises sur le marché (certaines sont soumises à autorisation) ; le Code du travail et l'ISO 45001 exigent l'évaluation du risque chimique, l'accès des salariés aux FDS et la traçabilité des expositions.</t>
  </si>
  <si>
    <t xml:space="preserve">RÈGLE D'OR — Aucun produit chimique sur site sans FDS de moins de 5 ans, accessible aux équipes. Un produit reçu sans FDS est bloqué à l'usage jusqu'à réception de celle-ci.</t>
  </si>
  <si>
    <t xml:space="preserve">2 · RÔLES &amp; RESPONSABILITÉS</t>
  </si>
  <si>
    <t xml:space="preserve">•  Correspondant HSE d'atelier — SAISIT : crée la fiche produit et renseigne toutes les cellules blanches de l'INVENTAIRE.</t>
  </si>
  <si>
    <t xml:space="preserve">•  Responsable HSE — VALIDE : contrôle les dangers, la cotation gravité / probabilité, les statuts, et anime la revue.</t>
  </si>
  <si>
    <t xml:space="preserve">•  Magasinier — ARCHIVE : dépose le PDF de la FDS dans le dossier « FDS/ », renseigne le lien et les dates de demande / réception.</t>
  </si>
  <si>
    <t xml:space="preserve">•  Direction + Responsable HSE — REVOIENT : revue annuelle complète du registre (checklist en section 10).</t>
  </si>
  <si>
    <t xml:space="preserve">3 · AJOUTER UN PRODUIT (PAS À PAS)</t>
  </si>
  <si>
    <t xml:space="preserve">1.  Ouvrez l'onglet INVENTAIRE et placez-vous sur la première ligne vide (sous les exemples).</t>
  </si>
  <si>
    <t xml:space="preserve">2.  Saisissez le Nom commercial : le N° de fiche (PC-xxx) se crée automatiquement.</t>
  </si>
  <si>
    <t xml:space="preserve">3.  Renseignez identification (CAS, fournisseur…), localisation et quantités à l'aide des listes déroulantes.</t>
  </si>
  <si>
    <t xml:space="preserve">4.  Recopiez depuis l'étiquette / la FDS : pictogrammes SGH, mentions H séparées par des virgules (ex. « H225, H319 »), conseils P, mention d'avertissement, CMR et autorisation REACH le cas échéant.</t>
  </si>
  <si>
    <t xml:space="preserve">5.  Indiquez « FDS disponible » (Oui / Non), la date de version et la langue : le statut FDS se calcule seul.</t>
  </si>
  <si>
    <t xml:space="preserve">6.  Cotez Gravité, Probabilité et Efficacité des mesures (1 à 5) : risque brut, résiduel et priorité se calculent seuls.</t>
  </si>
  <si>
    <t xml:space="preserve">7.  Si nécessaire, saisissez une action corrective (pilote, échéance, avancement, statut) : elle remonte dans PLAN D'ACTIONS.</t>
  </si>
  <si>
    <t xml:space="preserve">4 · DÉPOSER / LIER UNE FDS</t>
  </si>
  <si>
    <t xml:space="preserve">1.  Créez un dossier « FDS » à côté de ce fichier Excel.</t>
  </si>
  <si>
    <t xml:space="preserve">2.  Nommez chaque PDF : PC-001_NomProduit.pdf (même numéro que la fiche).</t>
  </si>
  <si>
    <t xml:space="preserve">3.  Collez le chemin dans la colonne « Lien FDS » (ou Ctrl+K pour un lien cliquable).</t>
  </si>
  <si>
    <t xml:space="preserve">4.  Saisissez la « Date version FDS » : la prochaine vérification (+ 5 ans) et le statut se mettent à jour automatiquement.</t>
  </si>
  <si>
    <t xml:space="preserve">5 · METTRE À JOUR / SUPPRIMER</t>
  </si>
  <si>
    <t xml:space="preserve">À chaque mouvement (nouveau produit, nouvelle FDS, fin d'utilisation), mettez à jour la ligne ainsi que les colonnes « Dernière mise à jour » et « Mis à jour par ».</t>
  </si>
  <si>
    <t xml:space="preserve">Pour retirer un produit — ou effacer les 20 lignes d'EXEMPLE (lignes 3 à 22) — sélectionnez les cellules blanches de la ligne et appuyez sur Suppr : les colonnes grises se vident d'elles-mêmes. Pour supprimer physiquement des lignes, ôtez d'abord la protection (Révision → Ôter la protection de la feuille, mot de passe HSE2026).</t>
  </si>
  <si>
    <t xml:space="preserve">Les colonnes grises en italique sont calculées et verrouillées : n'y saisissez rien.</t>
  </si>
  <si>
    <t xml:space="preserve">6 · LÉGENDE — COULEURS &amp; STATUTS</t>
  </si>
  <si>
    <t xml:space="preserve">CONFORME</t>
  </si>
  <si>
    <t xml:space="preserve">FDS valide (moins de 4 ans et demi).</t>
  </si>
  <si>
    <t xml:space="preserve">À RENOUVELER</t>
  </si>
  <si>
    <t xml:space="preserve">La FDS atteint 5 ans dans moins de 6 mois → relancer le fournisseur (onglet SUIVI FDS).</t>
  </si>
  <si>
    <t xml:space="preserve">EXPIRÉE</t>
  </si>
  <si>
    <t xml:space="preserve">FDS de plus de 5 ans → non conforme, renouvellement immédiat.</t>
  </si>
  <si>
    <t xml:space="preserve">FDS ABSENTE</t>
  </si>
  <si>
    <t xml:space="preserve">Aucune FDS → usage bloqué (règle d'or). La ligne entière se teinte en rouge pâle.</t>
  </si>
  <si>
    <t xml:space="preserve">P1 – Critique</t>
  </si>
  <si>
    <t xml:space="preserve">Risque résiduel ≥ 15 : action immédiate, arrêt de l'opération si nécessaire.</t>
  </si>
  <si>
    <t xml:space="preserve">P2 – Élevée</t>
  </si>
  <si>
    <t xml:space="preserve">Risque résiduel 8 à 14 : actions correctives sous 3 mois.</t>
  </si>
  <si>
    <t xml:space="preserve">P3 – Modérée</t>
  </si>
  <si>
    <t xml:space="preserve">Risque résiduel 4 à 7 : plan d'amélioration sous 12 mois.</t>
  </si>
  <si>
    <t xml:space="preserve">P4 – Faible</t>
  </si>
  <si>
    <t xml:space="preserve">Risque résiduel 1 à 3 : surveillance lors de la revue annuelle.</t>
  </si>
  <si>
    <t xml:space="preserve">Cellules : fond blanc = saisie utilisateur · gris italique = calcul automatique verrouillé · « ⚠ RÉAPPRO » = stock ≤ seuil d'alerte · barres bleues / dorées = volumes relatifs.</t>
  </si>
  <si>
    <t xml:space="preserve">Feu tricolore du tableau de bord : 🟢 taux ≥ 90 %  ·  🟠 70 à 89 %  ·  🔴 &lt; 70 %  (taux = FDS conformes ÷ produits au registre).</t>
  </si>
  <si>
    <t xml:space="preserve">7 · PICTOGRAMMES SGH (SIGNIFICATION)</t>
  </si>
  <si>
    <t xml:space="preserve">•  GHS01 – Explosif : explose sous l'effet d'un choc, d'une friction ou de la chaleur.</t>
  </si>
  <si>
    <t xml:space="preserve">•  GHS02 – Inflammable : liquides, aérosols et gaz qui s'enflamment facilement.</t>
  </si>
  <si>
    <t xml:space="preserve">•  GHS03 – Comburant : provoque ou aggrave un incendie.</t>
  </si>
  <si>
    <t xml:space="preserve">•  GHS04 – Gaz sous pression : récipient pouvant exploser ; gaz réfrigérés (brûlures cryogéniques).</t>
  </si>
  <si>
    <t xml:space="preserve">•  GHS05 – Corrosif : attaque la peau, les yeux ou les métaux.</t>
  </si>
  <si>
    <t xml:space="preserve">•  GHS06 – Toxicité aiguë : peut être mortel à faible dose.</t>
  </si>
  <si>
    <t xml:space="preserve">•  GHS07 – Nocif / irritant : irritations, somnolence, allergie cutanée.</t>
  </si>
  <si>
    <t xml:space="preserve">•  GHS08 – Danger grave pour la santé : CMR, sensibilisants respiratoires, atteinte d'organes, danger par aspiration.</t>
  </si>
  <si>
    <t xml:space="preserve">•  GHS09 – Environnement : toxique pour les organismes aquatiques.</t>
  </si>
  <si>
    <t xml:space="preserve">8 · MENTIONS H PRIORITAIRES (VIGILANCE MAXIMALE)</t>
  </si>
  <si>
    <t xml:space="preserve">•  CMR : H340 / H341 (mutagène), H350 / H351 (cancérogène), H360 / H361 (reprotoxique), H362 (lactation) → substitution en priorité, notice de poste et suivi renforcé des expositions.</t>
  </si>
  <si>
    <t xml:space="preserve">•  Sensibilisants : H317 (cutané), H334 (respiratoire) → supprimer tout contact, EPI adaptés.</t>
  </si>
  <si>
    <t xml:space="preserve">•  Corrosifs / lésions oculaires graves : H314, H318 → protection yeux-visage systématique, douche et lave-œil à proximité.</t>
  </si>
  <si>
    <t xml:space="preserve">•  Toxicité aiguë : H300, H310, H330 → procédures strictes, quantités minimales sur poste.</t>
  </si>
  <si>
    <t xml:space="preserve">•  Atteinte d'organes : H370, H372 → surveillance médicale renforcée.</t>
  </si>
  <si>
    <t xml:space="preserve">9 · FRÉQUENCE DE MISE À JOUR</t>
  </si>
  <si>
    <t xml:space="preserve">•  Au fil de l'eau : toute entrée ou sortie de produit, toute nouvelle version de FDS.</t>
  </si>
  <si>
    <t xml:space="preserve">•  Chaque mois : ouvrir SUIVI FDS, traiter les lignes « À relancer ? = OUI », puis figer le taux de conformité du mois dans l'onglet masqué CALCULS (graphique d'évolution du tableau de bord).</t>
  </si>
  <si>
    <t xml:space="preserve">•  Chaque année : revue complète du registre (checklist ci-dessous) et inventaire physique contradictoire.</t>
  </si>
  <si>
    <t xml:space="preserve">10 · CHECKLIST DE REVUE ANNUELLE</t>
  </si>
  <si>
    <t xml:space="preserve">☐  Inventaire physique réalisé sur chaque site et rapproché du registre.</t>
  </si>
  <si>
    <t xml:space="preserve">☐  Toutes les FDS ont moins de 5 ans, sont en français et accessibles aux équipes.</t>
  </si>
  <si>
    <t xml:space="preserve">☐  Produits CMR : plan de substitution à jour, expositions tracées.</t>
  </si>
  <si>
    <t xml:space="preserve">☐  Cotations Gravité × Probabilité revues pour les produits nouveaux ou modifiés.</t>
  </si>
  <si>
    <t xml:space="preserve">☐  Stockages : incompatibilités, rétentions et ventilations vérifiées.</t>
  </si>
  <si>
    <t xml:space="preserve">☐  EPI disponibles, adaptés et connus des utilisateurs.</t>
  </si>
  <si>
    <t xml:space="preserve">☐  Plan d'actions : retards traités, actions closes documentées.</t>
  </si>
  <si>
    <t xml:space="preserve">☐  Listes PARAMÈTRES (sites, ateliers, fournisseurs…) à jour.</t>
  </si>
  <si>
    <t xml:space="preserve">11 · DÉMARRAGE RAPIDE — 3 ACTIONS</t>
  </si>
  <si>
    <t xml:space="preserve">1.  PARAMÈTRES : adaptez sites, ateliers et fournisseurs à votre organisation.</t>
  </si>
  <si>
    <t xml:space="preserve">2.  INVENTAIRE : effacez les 20 lignes d'exemple (sélection + Suppr) puis saisissez vos produits réels.</t>
  </si>
  <si>
    <t xml:space="preserve">3.  FDS : créez le dossier « FDS/ », déposez vos PDF, renseignez dates et liens — puis pilotez via TABLEAU DE BORD et SUIVI FDS.</t>
  </si>
  <si>
    <t xml:space="preserve">12 · NOTES TECHNIQUES &amp; LIMITES</t>
  </si>
  <si>
    <t xml:space="preserve">•  Compatibilité : toutes les formules fonctionnent d'Excel 2016 aux versions récentes (recherches en INDEX / EQUIV plutôt que RECHERCHEX — choix volontaire de robustesse, aucune cellule d'erreur).</t>
  </si>
  <si>
    <t xml:space="preserve">•  Protection : onglets protégés par le mot de passe HSE2026 ; seules les cellules blanches de l'INVENTAIRE et les listes de PARAMÈTRES sont modifiables.</t>
  </si>
  <si>
    <t xml:space="preserve">•  Tableaux croisés dynamiques et segments (slicers) : non générables automatiquement — 3 étapes manuelles décrites sur le TABLEAU DE BORD.</t>
  </si>
  <si>
    <t xml:space="preserve">•  Impression : zones et en-têtes répétés définis — INVENTAIRE en A3 paysage, PLAN D'ACTIONS et SUIVI FDS en A4 paysage.</t>
  </si>
  <si>
    <t xml:space="preserve">•  Graphique « Top 10 » : quantités exprimées dans des unités différentes (L, kg, bouteilles…) — lecture indicative.</t>
  </si>
  <si>
    <t xml:space="preserve">Les 20 produits pré-remplis (lignes 3 à 22 de l'INVENTAIRE) sont des EXEMPLES réalistes destinés à la démonstration : supprimez-les avant l'exploitation réelle.</t>
  </si>
  <si>
    <t xml:space="preserve">TABLEAU DE BORD — RISQUES CHIMIQUES</t>
  </si>
  <si>
    <t xml:space="preserve">Situation au :</t>
  </si>
  <si>
    <t xml:space="preserve">SECUREX — Les experts en sécurité   ·   Registre des produits chimiques &amp; suivi des FDS</t>
  </si>
  <si>
    <t xml:space="preserve">PRODUITS AU REGISTRE</t>
  </si>
  <si>
    <t xml:space="preserve">PRODUITS CMR</t>
  </si>
  <si>
    <t xml:space="preserve">FDS MANQUANTES</t>
  </si>
  <si>
    <t xml:space="preserve">FDS EXPIRÉES (&gt; 5 ANS)</t>
  </si>
  <si>
    <t xml:space="preserve">FDS À RENOUVELER (&lt; 6 MOIS)</t>
  </si>
  <si>
    <t xml:space="preserve">SOUMIS À AUTORISATION REACH</t>
  </si>
  <si>
    <t xml:space="preserve">FDS CONFORMES</t>
  </si>
  <si>
    <t xml:space="preserve">TAUX DE CONFORMITÉ FDS</t>
  </si>
  <si>
    <t xml:space="preserve">Objectif ≥ 90 % · vigilance 70–89 % · critique &lt; 70 %</t>
  </si>
  <si>
    <t xml:space="preserve">INTERACTIVITÉ (segments / TCD)
Les segments (slicers) et tableaux croisés dynamiques ne peuvent pas être générés automatiquement dans ce fichier. Pour les ajouter (3 étapes) :
1. Onglet INVENTAIRE : cliquez dans le tableau T_Inventaire puis Insertion → Tableau croisé dynamique.
2. Placez p. ex. « Statut FDS » en colonnes, « Atelier / Zone » en lignes, « Nom commercial » en valeurs (Nb).
3. Sélectionnez le TCD puis Insertion → Segment : cochez Site, Atelier / Zone, Fournisseur, Picto SGH 1, Statut FDS.
Les graphiques ci-contre restent 100 % automatiques (formules).</t>
  </si>
  <si>
    <t xml:space="preserve">Feuille 100 % automatique : aucune saisie ici. Données sources : onglet INVENTAIRE · calculs : onglet masqué CALCULS.</t>
  </si>
  <si>
    <t xml:space="preserve">IDENTIFICATION</t>
  </si>
  <si>
    <t xml:space="preserve">LOCALISATION</t>
  </si>
  <si>
    <t xml:space="preserve">QUANTITÉS</t>
  </si>
  <si>
    <t xml:space="preserve">DANGER (CLP / SGH)</t>
  </si>
  <si>
    <t xml:space="preserve">FDS</t>
  </si>
  <si>
    <t xml:space="preserve">MAÎTRISE DU RISQUE</t>
  </si>
  <si>
    <t xml:space="preserve">ÉVALUATION DU RISQUE</t>
  </si>
  <si>
    <t xml:space="preserve">SUIVI</t>
  </si>
  <si>
    <t xml:space="preserve">N° Fiche</t>
  </si>
  <si>
    <t xml:space="preserve">Nom commercial</t>
  </si>
  <si>
    <t xml:space="preserve">Nom chimique</t>
  </si>
  <si>
    <t xml:space="preserve">N° CAS</t>
  </si>
  <si>
    <t xml:space="preserve">N° CE</t>
  </si>
  <si>
    <t xml:space="preserve">N° UN</t>
  </si>
  <si>
    <t xml:space="preserve">Fournisseur</t>
  </si>
  <si>
    <t xml:space="preserve">Contact fournisseur</t>
  </si>
  <si>
    <t xml:space="preserve">Site</t>
  </si>
  <si>
    <t xml:space="preserve">Bâtiment</t>
  </si>
  <si>
    <t xml:space="preserve">Atelier / Zone</t>
  </si>
  <si>
    <t xml:space="preserve">Lieu de stockage</t>
  </si>
  <si>
    <t xml:space="preserve">Responsable</t>
  </si>
  <si>
    <t xml:space="preserve">Conditionnement</t>
  </si>
  <si>
    <t xml:space="preserve">Quantité en stock</t>
  </si>
  <si>
    <t xml:space="preserve">Unité</t>
  </si>
  <si>
    <t xml:space="preserve">Conso. annuelle estimée</t>
  </si>
  <si>
    <t xml:space="preserve">Seuil d'alerte</t>
  </si>
  <si>
    <t xml:space="preserve">Alerte stock (auto)</t>
  </si>
  <si>
    <t xml:space="preserve">Picto SGH 1</t>
  </si>
  <si>
    <t xml:space="preserve">Picto SGH 2</t>
  </si>
  <si>
    <t xml:space="preserve">Picto SGH 3</t>
  </si>
  <si>
    <t xml:space="preserve">Picto SGH 4</t>
  </si>
  <si>
    <t xml:space="preserve">Mentions de danger H</t>
  </si>
  <si>
    <t xml:space="preserve">Danger principal (auto)</t>
  </si>
  <si>
    <t xml:space="preserve">Conseils de prudence P</t>
  </si>
  <si>
    <t xml:space="preserve">Mention d'avertissement</t>
  </si>
  <si>
    <t xml:space="preserve">CMR (O/N)</t>
  </si>
  <si>
    <t xml:space="preserve">Catégorie CMR</t>
  </si>
  <si>
    <t xml:space="preserve">Autorisation REACH (O/N)</t>
  </si>
  <si>
    <t xml:space="preserve">ADR / Cl. transport</t>
  </si>
  <si>
    <t xml:space="preserve">VLEP (8 h)</t>
  </si>
  <si>
    <t xml:space="preserve">FDS disponible (O/N)</t>
  </si>
  <si>
    <t xml:space="preserve">Date version FDS</t>
  </si>
  <si>
    <t xml:space="preserve">Langue FDS</t>
  </si>
  <si>
    <t xml:space="preserve">Prochaine vérification (auto)</t>
  </si>
  <si>
    <t xml:space="preserve">Statut FDS (auto)</t>
  </si>
  <si>
    <t xml:space="preserve">Lien FDS</t>
  </si>
  <si>
    <t xml:space="preserve">Date demande FDS</t>
  </si>
  <si>
    <t xml:space="preserve">Date réception FDS</t>
  </si>
  <si>
    <t xml:space="preserve">Utilisation / Procédé</t>
  </si>
  <si>
    <t xml:space="preserve">Voie d'exposition</t>
  </si>
  <si>
    <t xml:space="preserve">Fréquence d'usage</t>
  </si>
  <si>
    <t xml:space="preserve">EPI requis</t>
  </si>
  <si>
    <t xml:space="preserve">Protection collective</t>
  </si>
  <si>
    <t xml:space="preserve">Incompatibilités de stockage</t>
  </si>
  <si>
    <t xml:space="preserve">Consignes déchets (code)</t>
  </si>
  <si>
    <t xml:space="preserve">Mesures d'urgence</t>
  </si>
  <si>
    <t xml:space="preserve">Gravité (1-5)</t>
  </si>
  <si>
    <t xml:space="preserve">Probabilité (1-5)</t>
  </si>
  <si>
    <t xml:space="preserve">Risque brut (auto)</t>
  </si>
  <si>
    <t xml:space="preserve">Efficacité mesures (1-5)</t>
  </si>
  <si>
    <t xml:space="preserve">Risque résiduel (auto)</t>
  </si>
  <si>
    <t xml:space="preserve">Priorité (auto)</t>
  </si>
  <si>
    <t xml:space="preserve">Action corrective</t>
  </si>
  <si>
    <t xml:space="preserve">Pilote</t>
  </si>
  <si>
    <t xml:space="preserve">Échéance</t>
  </si>
  <si>
    <t xml:space="preserve">Avancement (%)</t>
  </si>
  <si>
    <t xml:space="preserve">Statut action</t>
  </si>
  <si>
    <t xml:space="preserve">Date de création</t>
  </si>
  <si>
    <t xml:space="preserve">Dernière mise à jour</t>
  </si>
  <si>
    <t xml:space="preserve">Mis à jour par</t>
  </si>
  <si>
    <t xml:space="preserve">Commentaires</t>
  </si>
  <si>
    <t xml:space="preserve">Acétone</t>
  </si>
  <si>
    <t xml:space="preserve">Propan-2-one</t>
  </si>
  <si>
    <t xml:space="preserve">67-64-1</t>
  </si>
  <si>
    <t xml:space="preserve">200-662-2</t>
  </si>
  <si>
    <t xml:space="preserve">UN 1090</t>
  </si>
  <si>
    <t xml:space="preserve">Solvants &amp; Peintures SARL</t>
  </si>
  <si>
    <t xml:space="preserve">commercial@solpein.tn – 71 000 001</t>
  </si>
  <si>
    <t xml:space="preserve">Siège &amp; Atelier – Tunis</t>
  </si>
  <si>
    <t xml:space="preserve">Bât. A</t>
  </si>
  <si>
    <t xml:space="preserve">Atelier maintenance</t>
  </si>
  <si>
    <t xml:space="preserve">Armoire inflammables A1</t>
  </si>
  <si>
    <t xml:space="preserve">Chef d'atelier</t>
  </si>
  <si>
    <t xml:space="preserve">Bidon</t>
  </si>
  <si>
    <t xml:space="preserve">L</t>
  </si>
  <si>
    <t xml:space="preserve">GHS02 – Inflammable</t>
  </si>
  <si>
    <t xml:space="preserve">GHS07 – Nocif – irritant</t>
  </si>
  <si>
    <t xml:space="preserve">H225, H319, H336</t>
  </si>
  <si>
    <t xml:space="preserve">P210, P233, P280, P305+P351+P338</t>
  </si>
  <si>
    <t xml:space="preserve">Danger</t>
  </si>
  <si>
    <t xml:space="preserve">Non</t>
  </si>
  <si>
    <t xml:space="preserve">Non CMR</t>
  </si>
  <si>
    <t xml:space="preserve">3</t>
  </si>
  <si>
    <t xml:space="preserve">500 ppm</t>
  </si>
  <si>
    <t xml:space="preserve">Oui</t>
  </si>
  <si>
    <t xml:space="preserve">FR</t>
  </si>
  <si>
    <t xml:space="preserve">FDS/PC-001_Acetone.pdf</t>
  </si>
  <si>
    <t xml:space="preserve">Dégraissage / nettoyage de pièces</t>
  </si>
  <si>
    <t xml:space="preserve">Inhalation</t>
  </si>
  <si>
    <t xml:space="preserve">Hebdomadaire</t>
  </si>
  <si>
    <t xml:space="preserve">Gants nitrile, Lunettes de sécurité</t>
  </si>
  <si>
    <t xml:space="preserve">Ventilation générale</t>
  </si>
  <si>
    <t xml:space="preserve">Oxydants, acides forts</t>
  </si>
  <si>
    <t xml:space="preserve">14 06 03*</t>
  </si>
  <si>
    <t xml:space="preserve">Rincer 15 min (douche / lave-œil) – Secours : 198 / 190</t>
  </si>
  <si>
    <t xml:space="preserve">Resp. HSE</t>
  </si>
  <si>
    <t xml:space="preserve">EXEMPLE – ligne à supprimer</t>
  </si>
  <si>
    <t xml:space="preserve">Soude caustique 30 %</t>
  </si>
  <si>
    <t xml:space="preserve">Hydroxyde de sodium (solution)</t>
  </si>
  <si>
    <t xml:space="preserve">1310-73-2</t>
  </si>
  <si>
    <t xml:space="preserve">215-185-5</t>
  </si>
  <si>
    <t xml:space="preserve">UN 1824</t>
  </si>
  <si>
    <t xml:space="preserve">ChimTun Distribution</t>
  </si>
  <si>
    <t xml:space="preserve">—</t>
  </si>
  <si>
    <t xml:space="preserve">Magasin – Stock chimique</t>
  </si>
  <si>
    <t xml:space="preserve">Rétention bases R2</t>
  </si>
  <si>
    <t xml:space="preserve">Magasinier</t>
  </si>
  <si>
    <t xml:space="preserve">kg</t>
  </si>
  <si>
    <t xml:space="preserve">GHS05 – Corrosif</t>
  </si>
  <si>
    <t xml:space="preserve">H290, H314</t>
  </si>
  <si>
    <t xml:space="preserve">P280, P301+P330+P331, P303+P361+P353, P305+P351+P338</t>
  </si>
  <si>
    <t xml:space="preserve">8</t>
  </si>
  <si>
    <t xml:space="preserve">2 mg/m³</t>
  </si>
  <si>
    <t xml:space="preserve">FDS/PC-002_Soude.pdf</t>
  </si>
  <si>
    <t xml:space="preserve">Neutralisation / entretien</t>
  </si>
  <si>
    <t xml:space="preserve">Cutanée</t>
  </si>
  <si>
    <t xml:space="preserve">Mensuelle</t>
  </si>
  <si>
    <t xml:space="preserve">Gants néoprène, Écran facial, Tablier anti-acide</t>
  </si>
  <si>
    <t xml:space="preserve">Rétention</t>
  </si>
  <si>
    <t xml:space="preserve">Acides, aluminium, zinc</t>
  </si>
  <si>
    <t xml:space="preserve">06 02 04*</t>
  </si>
  <si>
    <t xml:space="preserve">White spirit</t>
  </si>
  <si>
    <t xml:space="preserve">Naphta lourd hydrotraité</t>
  </si>
  <si>
    <t xml:space="preserve">64742-82-1</t>
  </si>
  <si>
    <t xml:space="preserve">265-185-4</t>
  </si>
  <si>
    <t xml:space="preserve">UN 1300</t>
  </si>
  <si>
    <t xml:space="preserve">GHS08 – Danger grave santé</t>
  </si>
  <si>
    <t xml:space="preserve">GHS09 – Environnement</t>
  </si>
  <si>
    <t xml:space="preserve">H226, H304, H336, H411</t>
  </si>
  <si>
    <t xml:space="preserve">P210, P261, P273, P301+P310, P331</t>
  </si>
  <si>
    <t xml:space="preserve">Voir FDS</t>
  </si>
  <si>
    <t xml:space="preserve">FDS/PC-003_WhiteSpirit.pdf</t>
  </si>
  <si>
    <t xml:space="preserve">Dilution peintures / nettoyage</t>
  </si>
  <si>
    <t xml:space="preserve">Oxydants</t>
  </si>
  <si>
    <t xml:space="preserve">Huile de coupe soluble</t>
  </si>
  <si>
    <t xml:space="preserve">Fluide aqueux d'usinage</t>
  </si>
  <si>
    <t xml:space="preserve">Mélange</t>
  </si>
  <si>
    <t xml:space="preserve">Rayonnage R3</t>
  </si>
  <si>
    <t xml:space="preserve">H315, H319</t>
  </si>
  <si>
    <t xml:space="preserve">P264, P280, P302+P352</t>
  </si>
  <si>
    <t xml:space="preserve">Attention</t>
  </si>
  <si>
    <t xml:space="preserve">FDS/PC-004_HuileCoupe.pdf</t>
  </si>
  <si>
    <t xml:space="preserve">Usinage / perçage</t>
  </si>
  <si>
    <t xml:space="preserve">Captage à la source</t>
  </si>
  <si>
    <t xml:space="preserve">12 01 09*</t>
  </si>
  <si>
    <t xml:space="preserve">Eau de Javel 9,6 %</t>
  </si>
  <si>
    <t xml:space="preserve">Hypochlorite de sodium</t>
  </si>
  <si>
    <t xml:space="preserve">7681-52-9</t>
  </si>
  <si>
    <t xml:space="preserve">231-668-3</t>
  </si>
  <si>
    <t xml:space="preserve">UN 1791</t>
  </si>
  <si>
    <t xml:space="preserve">Dépôt – Mégrine</t>
  </si>
  <si>
    <t xml:space="preserve">Bât. B</t>
  </si>
  <si>
    <t xml:space="preserve">H290, H314, H400</t>
  </si>
  <si>
    <t xml:space="preserve">P273, P280, P301+P330+P331, P305+P351+P338</t>
  </si>
  <si>
    <t xml:space="preserve">FDS/PC-005_Javel.pdf</t>
  </si>
  <si>
    <t xml:space="preserve">Désinfection des locaux</t>
  </si>
  <si>
    <t xml:space="preserve">Gants néoprène, Lunettes de sécurité, Tablier anti-acide</t>
  </si>
  <si>
    <t xml:space="preserve">Local ventilé</t>
  </si>
  <si>
    <t xml:space="preserve">ACIDES (dégagement de chlore – EUH031), ammoniaque</t>
  </si>
  <si>
    <t xml:space="preserve">20 01 29*</t>
  </si>
  <si>
    <t xml:space="preserve">Mettre à jour l'affichage des incompatibilités (acides)</t>
  </si>
  <si>
    <t xml:space="preserve">Clôturée</t>
  </si>
  <si>
    <t xml:space="preserve">EXEMPLE – EUH031 : au contact d'un acide, dégage un gaz toxique</t>
  </si>
  <si>
    <t xml:space="preserve">Résine époxy bi-composant</t>
  </si>
  <si>
    <t xml:space="preserve">Produit de réaction bisphénol A – épichlorhydrine</t>
  </si>
  <si>
    <t xml:space="preserve">25068-38-6</t>
  </si>
  <si>
    <t xml:space="preserve">500-033-5</t>
  </si>
  <si>
    <t xml:space="preserve">Seau</t>
  </si>
  <si>
    <t xml:space="preserve">H315, H317, H319, H411</t>
  </si>
  <si>
    <t xml:space="preserve">P261, P272, P273, P280, P333+P313</t>
  </si>
  <si>
    <t xml:space="preserve">9</t>
  </si>
  <si>
    <t xml:space="preserve">FDS/PC-006_Epoxy.pdf</t>
  </si>
  <si>
    <t xml:space="preserve">Collage / scellement</t>
  </si>
  <si>
    <t xml:space="preserve">Occasionnelle</t>
  </si>
  <si>
    <t xml:space="preserve">Gants nitrile, Lunettes de sécurité, Combinaison</t>
  </si>
  <si>
    <t xml:space="preserve">Amines (durcisseur) – stocker séparément</t>
  </si>
  <si>
    <t xml:space="preserve">08 04 09*</t>
  </si>
  <si>
    <t xml:space="preserve">EXEMPLE – Sensibilisant cutané (H317)</t>
  </si>
  <si>
    <t xml:space="preserve">Azote liquide</t>
  </si>
  <si>
    <t xml:space="preserve">Azote réfrigéré liquéfié</t>
  </si>
  <si>
    <t xml:space="preserve">7727-37-9</t>
  </si>
  <si>
    <t xml:space="preserve">231-783-9</t>
  </si>
  <si>
    <t xml:space="preserve">UN 1977</t>
  </si>
  <si>
    <t xml:space="preserve">Gaz Industriels de Tunisie</t>
  </si>
  <si>
    <t xml:space="preserve">livraisons@git.tn – 71 000 002</t>
  </si>
  <si>
    <t xml:space="preserve">Bât. C</t>
  </si>
  <si>
    <t xml:space="preserve">Laboratoire – Banc d'essais</t>
  </si>
  <si>
    <t xml:space="preserve">Récipient cryogénique – local ventilé</t>
  </si>
  <si>
    <t xml:space="preserve">Récipient cryogénique</t>
  </si>
  <si>
    <t xml:space="preserve">GHS04 – Gaz sous pression</t>
  </si>
  <si>
    <t xml:space="preserve">H281</t>
  </si>
  <si>
    <t xml:space="preserve">P282, P336+P315, P403</t>
  </si>
  <si>
    <t xml:space="preserve">2.2</t>
  </si>
  <si>
    <t xml:space="preserve">FDS/PC-007_Azote.pdf</t>
  </si>
  <si>
    <t xml:space="preserve">Essais / cryogénie</t>
  </si>
  <si>
    <t xml:space="preserve">Gants cryogéniques, Écran facial</t>
  </si>
  <si>
    <t xml:space="preserve">Local ventilé + détection O₂</t>
  </si>
  <si>
    <t xml:space="preserve">Gelure : eau tiède, ne pas frotter. Risque d'anoxie en local confiné – Secours : 198 / 190</t>
  </si>
  <si>
    <t xml:space="preserve">Acide sulfurique 96 %</t>
  </si>
  <si>
    <t xml:space="preserve">Acide sulfurique</t>
  </si>
  <si>
    <t xml:space="preserve">7664-93-9</t>
  </si>
  <si>
    <t xml:space="preserve">231-639-5</t>
  </si>
  <si>
    <t xml:space="preserve">UN 1830</t>
  </si>
  <si>
    <t xml:space="preserve">Rétention acides R1</t>
  </si>
  <si>
    <t xml:space="preserve">P280, P301+P330+P331, P303+P361+P353, P310</t>
  </si>
  <si>
    <t xml:space="preserve">0,05 mg/m³ (fraction thoracique)</t>
  </si>
  <si>
    <t xml:space="preserve">FDS/PC-008_AcideSulfurique.pdf</t>
  </si>
  <si>
    <t xml:space="preserve">Traitement de surface / détartrage</t>
  </si>
  <si>
    <t xml:space="preserve">Rétention + armoire ventilée</t>
  </si>
  <si>
    <t xml:space="preserve">BASES, eau (toujours verser l'acide dans l'eau), métaux</t>
  </si>
  <si>
    <t xml:space="preserve">06 01 01*</t>
  </si>
  <si>
    <t xml:space="preserve">Renouveler la FDS et vérifier la rétention</t>
  </si>
  <si>
    <t xml:space="preserve">En cours</t>
  </si>
  <si>
    <t xml:space="preserve">Mastic silicone neutre</t>
  </si>
  <si>
    <t xml:space="preserve">Polysiloxanes (mélange)</t>
  </si>
  <si>
    <t xml:space="preserve">ProtecFeu Équipements</t>
  </si>
  <si>
    <t xml:space="preserve">Cartouche</t>
  </si>
  <si>
    <t xml:space="preserve">cartouche(s)</t>
  </si>
  <si>
    <t xml:space="preserve">Non classé</t>
  </si>
  <si>
    <t xml:space="preserve">P102</t>
  </si>
  <si>
    <t xml:space="preserve">Aucune</t>
  </si>
  <si>
    <t xml:space="preserve">FDS/PC-009_Silicone.pdf</t>
  </si>
  <si>
    <t xml:space="preserve">Étanchéité</t>
  </si>
  <si>
    <t xml:space="preserve">Gants nitrile</t>
  </si>
  <si>
    <t xml:space="preserve">08 04 10</t>
  </si>
  <si>
    <t xml:space="preserve">Dégraissant solvanté DS-40</t>
  </si>
  <si>
    <t xml:space="preserve">Hydrocarbures C9-C11, n-alcanes</t>
  </si>
  <si>
    <t xml:space="preserve">64742-48-9</t>
  </si>
  <si>
    <t xml:space="preserve">265-150-3</t>
  </si>
  <si>
    <t xml:space="preserve">UN 1268</t>
  </si>
  <si>
    <t xml:space="preserve">(à compléter)</t>
  </si>
  <si>
    <t xml:space="preserve">Atelier recharge extincteurs</t>
  </si>
  <si>
    <t xml:space="preserve">Armoire inflammables B2</t>
  </si>
  <si>
    <t xml:space="preserve">H226, H304, H336</t>
  </si>
  <si>
    <t xml:space="preserve">P210, P261, P301+P310, P331</t>
  </si>
  <si>
    <t xml:space="preserve">Dégraissage des corps d'extincteurs</t>
  </si>
  <si>
    <t xml:space="preserve">Quotidienne</t>
  </si>
  <si>
    <t xml:space="preserve">Gants nitrile, Demi-masque A2</t>
  </si>
  <si>
    <t xml:space="preserve">Exiger la FDS auprès du fournisseur</t>
  </si>
  <si>
    <t xml:space="preserve">À lancer</t>
  </si>
  <si>
    <t xml:space="preserve">EXEMPLE – produit reçu sans FDS : blocage à l'usage</t>
  </si>
  <si>
    <t xml:space="preserve">Poudre extinctrice ABC</t>
  </si>
  <si>
    <t xml:space="preserve">Phosphate de monoammonium</t>
  </si>
  <si>
    <t xml:space="preserve">7722-76-1</t>
  </si>
  <si>
    <t xml:space="preserve">231-764-5</t>
  </si>
  <si>
    <t xml:space="preserve">Big-bags – zone sèche</t>
  </si>
  <si>
    <t xml:space="preserve">Sac</t>
  </si>
  <si>
    <t xml:space="preserve">P260</t>
  </si>
  <si>
    <t xml:space="preserve">FDS/PC-011_PoudreABC.pdf</t>
  </si>
  <si>
    <t xml:space="preserve">Recharge des extincteurs à poudre</t>
  </si>
  <si>
    <t xml:space="preserve">Masque FFP2, Lunettes de sécurité</t>
  </si>
  <si>
    <t xml:space="preserve">Humidité</t>
  </si>
  <si>
    <t xml:space="preserve">16 05 09</t>
  </si>
  <si>
    <t xml:space="preserve">Émulseur AFFF 3 %</t>
  </si>
  <si>
    <t xml:space="preserve">Agents de surface (fluorés) en solution</t>
  </si>
  <si>
    <t xml:space="preserve">Cuve – IBC zone E</t>
  </si>
  <si>
    <t xml:space="preserve">Cuve – IBC</t>
  </si>
  <si>
    <t xml:space="preserve">H319, H412</t>
  </si>
  <si>
    <t xml:space="preserve">P264, P273, P305+P351+P338</t>
  </si>
  <si>
    <t xml:space="preserve">FDS/PC-012_AFFF.pdf</t>
  </si>
  <si>
    <t xml:space="preserve">Recharge extincteurs à mousse / RIA</t>
  </si>
  <si>
    <t xml:space="preserve">Oculaire</t>
  </si>
  <si>
    <t xml:space="preserve">16 10 01*</t>
  </si>
  <si>
    <t xml:space="preserve">EXEMPLE – PFAS : suivre le plan de substitution réglementaire</t>
  </si>
  <si>
    <t xml:space="preserve">Dioxyde de carbone (bouteilles)</t>
  </si>
  <si>
    <t xml:space="preserve">Dioxyde de carbone</t>
  </si>
  <si>
    <t xml:space="preserve">124-38-9</t>
  </si>
  <si>
    <t xml:space="preserve">204-696-9</t>
  </si>
  <si>
    <t xml:space="preserve">UN 1013</t>
  </si>
  <si>
    <t xml:space="preserve">Extérieur</t>
  </si>
  <si>
    <t xml:space="preserve">Cage gaz extérieure</t>
  </si>
  <si>
    <t xml:space="preserve">Bouteille de gaz</t>
  </si>
  <si>
    <t xml:space="preserve">bouteille(s)</t>
  </si>
  <si>
    <t xml:space="preserve">H280</t>
  </si>
  <si>
    <t xml:space="preserve">P403, P410+P403</t>
  </si>
  <si>
    <t xml:space="preserve">5 000 ppm</t>
  </si>
  <si>
    <t xml:space="preserve">FDS/PC-013_CO2.pdf</t>
  </si>
  <si>
    <t xml:space="preserve">Recharge des extincteurs CO₂</t>
  </si>
  <si>
    <t xml:space="preserve">Chaussures de sécurité, Gants nitrile</t>
  </si>
  <si>
    <t xml:space="preserve">Stockage extérieur + arrimage</t>
  </si>
  <si>
    <t xml:space="preserve">16 05 05</t>
  </si>
  <si>
    <t xml:space="preserve">Anoxie : évacuer, aérer – Secours : 198 / 190</t>
  </si>
  <si>
    <t xml:space="preserve">Peinture antirouille solvantée</t>
  </si>
  <si>
    <t xml:space="preserve">Alkyde en phase solvant</t>
  </si>
  <si>
    <t xml:space="preserve">UN 1263</t>
  </si>
  <si>
    <t xml:space="preserve">Agence – Sfax</t>
  </si>
  <si>
    <t xml:space="preserve">Bât. S</t>
  </si>
  <si>
    <t xml:space="preserve">Armoire inflammables S1</t>
  </si>
  <si>
    <t xml:space="preserve">H226, H336, H412</t>
  </si>
  <si>
    <t xml:space="preserve">P210, P261, P271</t>
  </si>
  <si>
    <t xml:space="preserve">FDS/PC-014_Peinture.pdf</t>
  </si>
  <si>
    <t xml:space="preserve">Retouches antirouille des supports</t>
  </si>
  <si>
    <t xml:space="preserve">Travail en extérieur / ventilation</t>
  </si>
  <si>
    <t xml:space="preserve">08 01 11*</t>
  </si>
  <si>
    <t xml:space="preserve">Relancer le fournisseur pour la FDS à jour</t>
  </si>
  <si>
    <t xml:space="preserve">Électrolyte batterie 37 %</t>
  </si>
  <si>
    <t xml:space="preserve">Acide sulfurique dilué</t>
  </si>
  <si>
    <t xml:space="preserve">UN 2796</t>
  </si>
  <si>
    <t xml:space="preserve">Local batteries &amp; onduleurs</t>
  </si>
  <si>
    <t xml:space="preserve">Rétention acides – local batteries</t>
  </si>
  <si>
    <t xml:space="preserve">Resp. maintenance</t>
  </si>
  <si>
    <t xml:space="preserve">P280, P301+P330+P331, P305+P351+P338</t>
  </si>
  <si>
    <t xml:space="preserve">FDS/PC-015_Electrolyte.pdf</t>
  </si>
  <si>
    <t xml:space="preserve">Maintenance batteries (alarmes / onduleurs)</t>
  </si>
  <si>
    <t xml:space="preserve">Local ventilé (H₂) + rétention</t>
  </si>
  <si>
    <t xml:space="preserve">Bases, métaux</t>
  </si>
  <si>
    <t xml:space="preserve">16 06 06*</t>
  </si>
  <si>
    <t xml:space="preserve">Isopropanol (IPA)</t>
  </si>
  <si>
    <t xml:space="preserve">Propan-2-ol</t>
  </si>
  <si>
    <t xml:space="preserve">67-63-0</t>
  </si>
  <si>
    <t xml:space="preserve">200-661-7</t>
  </si>
  <si>
    <t xml:space="preserve">UN 1219</t>
  </si>
  <si>
    <t xml:space="preserve">P210, P233, P305+P351+P338</t>
  </si>
  <si>
    <t xml:space="preserve">FDS/PC-016_IPA.pdf</t>
  </si>
  <si>
    <t xml:space="preserve">Nettoyage détecteurs / électronique</t>
  </si>
  <si>
    <t xml:space="preserve">EXEMPLE – stock sous le seuil d'alerte (réappro)</t>
  </si>
  <si>
    <t xml:space="preserve">Aérosol test détecteurs de fumée</t>
  </si>
  <si>
    <t xml:space="preserve">Mélange hydrocarbures + gaz propulseur</t>
  </si>
  <si>
    <t xml:space="preserve">UN 1950</t>
  </si>
  <si>
    <t xml:space="preserve">Parc</t>
  </si>
  <si>
    <t xml:space="preserve">Véhicules d'intervention</t>
  </si>
  <si>
    <t xml:space="preserve">Caisses véhicules (arrimées)</t>
  </si>
  <si>
    <t xml:space="preserve">Aérosol</t>
  </si>
  <si>
    <t xml:space="preserve">unité(s)</t>
  </si>
  <si>
    <t xml:space="preserve">H222, H229</t>
  </si>
  <si>
    <t xml:space="preserve">P210, P211, P251, P410+P412</t>
  </si>
  <si>
    <t xml:space="preserve">2.1</t>
  </si>
  <si>
    <t xml:space="preserve">FDS/PC-017_AerosolTest.pdf</t>
  </si>
  <si>
    <t xml:space="preserve">Test fonctionnel des détecteurs de fumée</t>
  </si>
  <si>
    <t xml:space="preserve">Utilisation en zone ventilée</t>
  </si>
  <si>
    <t xml:space="preserve">Chaleur, T° &gt; 50 °C</t>
  </si>
  <si>
    <t xml:space="preserve">16 05 04*</t>
  </si>
  <si>
    <t xml:space="preserve">Colle contact néoprène</t>
  </si>
  <si>
    <t xml:space="preserve">Polychloroprène en solution</t>
  </si>
  <si>
    <t xml:space="preserve">UN 1133</t>
  </si>
  <si>
    <t xml:space="preserve">H225, H315, H319, H336, H411</t>
  </si>
  <si>
    <t xml:space="preserve">P210, P261, P273</t>
  </si>
  <si>
    <t xml:space="preserve">Collage joints / garnitures</t>
  </si>
  <si>
    <t xml:space="preserve">Bloquer le réappro tant que la FDS n'est pas reçue</t>
  </si>
  <si>
    <t xml:space="preserve">EXEMPLE – FDS manquante + stock sous seuil</t>
  </si>
  <si>
    <t xml:space="preserve">Trichloroéthylène</t>
  </si>
  <si>
    <t xml:space="preserve">Trichloroéthène</t>
  </si>
  <si>
    <t xml:space="preserve">79-01-6</t>
  </si>
  <si>
    <t xml:space="preserve">201-167-4</t>
  </si>
  <si>
    <t xml:space="preserve">UN 1710</t>
  </si>
  <si>
    <t xml:space="preserve">Armoire ventilée V1</t>
  </si>
  <si>
    <t xml:space="preserve">H350, H341, H315, H319, H336, H412</t>
  </si>
  <si>
    <t xml:space="preserve">P201, P280, P308+P313</t>
  </si>
  <si>
    <t xml:space="preserve">C1B</t>
  </si>
  <si>
    <t xml:space="preserve">6.1</t>
  </si>
  <si>
    <t xml:space="preserve">FDS/PC-019_Trichloroethylene.pdf</t>
  </si>
  <si>
    <t xml:space="preserve">Dégraissage fin (usage historique à substituer)</t>
  </si>
  <si>
    <t xml:space="preserve">Demi-masque A2, Gants adaptés (voir FDS)</t>
  </si>
  <si>
    <t xml:space="preserve">Armoire ventilée + captage à la source</t>
  </si>
  <si>
    <t xml:space="preserve">Métaux légers, bases fortes</t>
  </si>
  <si>
    <t xml:space="preserve">14 06 02*</t>
  </si>
  <si>
    <t xml:space="preserve">Plan de substitution (REACH annexe XIV)</t>
  </si>
  <si>
    <t xml:space="preserve">EXEMPLE – CMR 1B (H350), soumis à autorisation REACH (annexe XIV)</t>
  </si>
  <si>
    <t xml:space="preserve">Gazole (groupe électrogène)</t>
  </si>
  <si>
    <t xml:space="preserve">Carburant diesel</t>
  </si>
  <si>
    <t xml:space="preserve">68334-30-5</t>
  </si>
  <si>
    <t xml:space="preserve">269-822-7</t>
  </si>
  <si>
    <t xml:space="preserve">UN 1202</t>
  </si>
  <si>
    <t xml:space="preserve">PetroServices</t>
  </si>
  <si>
    <t xml:space="preserve">Local groupe électrogène</t>
  </si>
  <si>
    <t xml:space="preserve">Cuve extérieure 1 000 L (rétention)</t>
  </si>
  <si>
    <t xml:space="preserve">H226, H304, H315, H332, H351, H373, H411</t>
  </si>
  <si>
    <t xml:space="preserve">P210, P260, P273, P280, P301+P310, P331</t>
  </si>
  <si>
    <t xml:space="preserve">C2</t>
  </si>
  <si>
    <t xml:space="preserve">FDS/PC-020_Gazole.pdf</t>
  </si>
  <si>
    <t xml:space="preserve">Alimentation du groupe électrogène de secours</t>
  </si>
  <si>
    <t xml:space="preserve">Rétention + zone extérieure</t>
  </si>
  <si>
    <t xml:space="preserve">Oxydants, sources d'ignition</t>
  </si>
  <si>
    <t xml:space="preserve">13 07 01*</t>
  </si>
  <si>
    <t xml:space="preserve">EXEMPLE – CMR cat. 2 (H351)</t>
  </si>
  <si>
    <t xml:space="preserve">MATRICE DE RISQUE 5 × 5 — GRAVITÉ × PROBABILITÉ</t>
  </si>
  <si>
    <t xml:space="preserve">Risque = Gravité × Probabilité · Risque résiduel = Risque brut ÷ Efficacité des mesures (arrondi au supérieur)</t>
  </si>
  <si>
    <t xml:space="preserve">1 · Niveaux de risque brut (valeurs Gravité × Probabilité)</t>
  </si>
  <si>
    <t xml:space="preserve">Gravité ↓  /  Probabilité →</t>
  </si>
  <si>
    <t xml:space="preserve">2 · Nombre de produits par case (risque brut, calcul automatique)</t>
  </si>
  <si>
    <t xml:space="preserve">Définition des niveaux de GRAVITÉ</t>
  </si>
  <si>
    <t xml:space="preserve">Définition des niveaux de PROBABILITÉ</t>
  </si>
  <si>
    <t xml:space="preserve">1 – Négligeable : inconfort léger, sans lésion</t>
  </si>
  <si>
    <t xml:space="preserve">1 – Très improbable : exposition exceptionnelle (&lt; 1 fois/an)</t>
  </si>
  <si>
    <t xml:space="preserve">2 – Mineure : effet réversible, premiers soins suffisants</t>
  </si>
  <si>
    <t xml:space="preserve">2 – Improbable : exposition rare (quelques fois/an)</t>
  </si>
  <si>
    <t xml:space="preserve">3 – Modérée : lésion avec arrêt de travail, effet réversible</t>
  </si>
  <si>
    <t xml:space="preserve">3 – Possible : exposition mensuelle ou quantités notables</t>
  </si>
  <si>
    <t xml:space="preserve">4 – Grave : lésion irréversible, maladie professionnelle</t>
  </si>
  <si>
    <t xml:space="preserve">4 – Probable : exposition hebdomadaire</t>
  </si>
  <si>
    <t xml:space="preserve">5 – Critique : danger vital, CMR avéré, décès possible</t>
  </si>
  <si>
    <t xml:space="preserve">5 – Très probable : exposition quotidienne ou quantités importantes</t>
  </si>
  <si>
    <t xml:space="preserve">Seuils de décision (sur le risque brut ET le risque résiduel)</t>
  </si>
  <si>
    <t xml:space="preserve">1 – 3</t>
  </si>
  <si>
    <t xml:space="preserve">Risque ACCEPTABLE — à surveiller lors de la revue annuelle</t>
  </si>
  <si>
    <t xml:space="preserve">4 – 7</t>
  </si>
  <si>
    <t xml:space="preserve">Risque TOLÉRABLE — plan d'amélioration sous 12 mois</t>
  </si>
  <si>
    <t xml:space="preserve">8 – 14</t>
  </si>
  <si>
    <t xml:space="preserve">Risque À RÉDUIRE — actions correctives sous 3 mois</t>
  </si>
  <si>
    <t xml:space="preserve">≥ 15</t>
  </si>
  <si>
    <t xml:space="preserve">Risque INACCEPTABLE — action immédiate, arrêt de l'opération si nécessaire</t>
  </si>
  <si>
    <t xml:space="preserve">PLAN D'ACTIONS — RISQUE CHIMIQUE</t>
  </si>
  <si>
    <t xml:space="preserve">Actions en retard :</t>
  </si>
  <si>
    <t xml:space="preserve">À échéance ce mois-ci :</t>
  </si>
  <si>
    <t xml:space="preserve">Clôturées :</t>
  </si>
  <si>
    <t xml:space="preserve">Les actions se saisissent dans l'onglet INVENTAIRE (colonnes « Action corrective » → « Statut action »). Vue 100 % automatique (60 premières actions).</t>
  </si>
  <si>
    <t xml:space="preserve">Produit</t>
  </si>
  <si>
    <t xml:space="preserve">Priorité</t>
  </si>
  <si>
    <t xml:space="preserve">Risque résiduel</t>
  </si>
  <si>
    <t xml:space="preserve">Avancement</t>
  </si>
  <si>
    <t xml:space="preserve">Statut</t>
  </si>
  <si>
    <t xml:space="preserve">Retard (j)</t>
  </si>
  <si>
    <t xml:space="preserve">SUIVI DES FDS — ÉCHÉANCES &amp; RELANCES FOURNISSEURS</t>
  </si>
  <si>
    <t xml:space="preserve">Produits triés automatiquement par date d'expiration de FDS (les FDS absentes apparaissent en fin de liste).</t>
  </si>
  <si>
    <t xml:space="preserve">FDS expirées :</t>
  </si>
  <si>
    <t xml:space="preserve">À renouveler (&lt; 6 mois) :</t>
  </si>
  <si>
    <t xml:space="preserve">FDS absentes :</t>
  </si>
  <si>
    <t xml:space="preserve">Prochaine échéance FDS :</t>
  </si>
  <si>
    <t xml:space="preserve">Relances : saisir « Date demande FDS » / « Date réception FDS » dans l'onglet INVENTAIRE (colonnes AM / AN). Vue 100 % automatique.</t>
  </si>
  <si>
    <t xml:space="preserve">Statut FDS</t>
  </si>
  <si>
    <t xml:space="preserve">Expire le</t>
  </si>
  <si>
    <t xml:space="preserve">Jours restants</t>
  </si>
  <si>
    <t xml:space="preserve">À relancer ?</t>
  </si>
  <si>
    <t xml:space="preserve">Date demande</t>
  </si>
  <si>
    <t xml:space="preserve">Date réception</t>
  </si>
  <si>
    <t xml:space="preserve">PARAMÈTRES — listes de référence du registre</t>
  </si>
  <si>
    <t xml:space="preserve">Ajoutez vos propres valeurs À LA SUITE de chaque liste (jusqu'à la ligne 64), sans laisser de ligne vide : les menus déroulants de l'INVENTAIRE se mettent à jour automatiquement.</t>
  </si>
  <si>
    <t xml:space="preserve">Les 2 dernières colonnes (Niveaux, Statuts FDS) sont informatives et verrouillées. Ne renommez pas les en-têtes. Onglet protégé — mot de passe : HSE2026.</t>
  </si>
  <si>
    <t xml:space="preserve">Sites</t>
  </si>
  <si>
    <t xml:space="preserve">Ateliers / Zones</t>
  </si>
  <si>
    <t xml:space="preserve">Fournisseurs</t>
  </si>
  <si>
    <t xml:space="preserve">Conditionnements</t>
  </si>
  <si>
    <t xml:space="preserve">Unités</t>
  </si>
  <si>
    <t xml:space="preserve">EPI</t>
  </si>
  <si>
    <t xml:space="preserve">Pictogrammes SGH</t>
  </si>
  <si>
    <t xml:space="preserve">Mention avertissement</t>
  </si>
  <si>
    <t xml:space="preserve">Oui / Non</t>
  </si>
  <si>
    <t xml:space="preserve">Catégories CMR</t>
  </si>
  <si>
    <t xml:space="preserve">Langues FDS</t>
  </si>
  <si>
    <t xml:space="preserve">Voies d'exposition</t>
  </si>
  <si>
    <t xml:space="preserve">Fréquences d'usage</t>
  </si>
  <si>
    <t xml:space="preserve">Statuts action</t>
  </si>
  <si>
    <t xml:space="preserve">Niveaux 1-5 (info)</t>
  </si>
  <si>
    <t xml:space="preserve">Statuts FDS (auto)</t>
  </si>
  <si>
    <t xml:space="preserve">GHS01 – Explosif</t>
  </si>
  <si>
    <t xml:space="preserve">C1A</t>
  </si>
  <si>
    <t xml:space="preserve">1 – Très faible</t>
  </si>
  <si>
    <t xml:space="preserve">Fût</t>
  </si>
  <si>
    <t xml:space="preserve">mL</t>
  </si>
  <si>
    <t xml:space="preserve">Gants néoprène</t>
  </si>
  <si>
    <t xml:space="preserve">EN</t>
  </si>
  <si>
    <t xml:space="preserve">2 – Faible</t>
  </si>
  <si>
    <t xml:space="preserve">Gants cryogéniques</t>
  </si>
  <si>
    <t xml:space="preserve">GHS03 – Comburant</t>
  </si>
  <si>
    <t xml:space="preserve">AR</t>
  </si>
  <si>
    <t xml:space="preserve">En attente</t>
  </si>
  <si>
    <t xml:space="preserve">3 – Moyen</t>
  </si>
  <si>
    <t xml:space="preserve">g</t>
  </si>
  <si>
    <t xml:space="preserve">Lunettes de sécurité</t>
  </si>
  <si>
    <t xml:space="preserve">M1A</t>
  </si>
  <si>
    <t xml:space="preserve">Autre</t>
  </si>
  <si>
    <t xml:space="preserve">Ingestion</t>
  </si>
  <si>
    <t xml:space="preserve">4 – Élevé</t>
  </si>
  <si>
    <t xml:space="preserve">m³</t>
  </si>
  <si>
    <t xml:space="preserve">Écran facial</t>
  </si>
  <si>
    <t xml:space="preserve">M1B</t>
  </si>
  <si>
    <t xml:space="preserve">Multiple</t>
  </si>
  <si>
    <t xml:space="preserve">Rare</t>
  </si>
  <si>
    <t xml:space="preserve">5 – Très élevé</t>
  </si>
  <si>
    <t xml:space="preserve">Masque FFP2</t>
  </si>
  <si>
    <t xml:space="preserve">GHS06 – Toxicité aiguë</t>
  </si>
  <si>
    <t xml:space="preserve">M2</t>
  </si>
  <si>
    <t xml:space="preserve">Demi-masque A2</t>
  </si>
  <si>
    <t xml:space="preserve">R1A</t>
  </si>
  <si>
    <t xml:space="preserve">Zone déchets</t>
  </si>
  <si>
    <t xml:space="preserve">Demi-masque ABEK</t>
  </si>
  <si>
    <t xml:space="preserve">R1B</t>
  </si>
  <si>
    <t xml:space="preserve">Combinaison</t>
  </si>
  <si>
    <t xml:space="preserve">R2</t>
  </si>
  <si>
    <t xml:space="preserve">Tablier anti-acide</t>
  </si>
  <si>
    <t xml:space="preserve">Chaussures de sécurité</t>
  </si>
  <si>
    <t xml:space="preserve">ARI</t>
  </si>
  <si>
    <t xml:space="preserve">RÉFÉRENTIEL DES MENTIONS H ET CONSEILS P (CLP / SGH)</t>
  </si>
  <si>
    <t xml:space="preserve">Utilisé par la colonne « Danger principal (auto) » de l'inventaire (INDEX/EQUIV sur le premier code H saisi). Onglet verrouillé — mot de passe : HSE2026.</t>
  </si>
  <si>
    <t xml:space="preserve">Code H</t>
  </si>
  <si>
    <t xml:space="preserve">Libellé (FR)</t>
  </si>
  <si>
    <t xml:space="preserve">Classe de danger</t>
  </si>
  <si>
    <t xml:space="preserve">Picto SGH</t>
  </si>
  <si>
    <t xml:space="preserve">Code P</t>
  </si>
  <si>
    <t xml:space="preserve">H220</t>
  </si>
  <si>
    <t xml:space="preserve">Gaz extrêmement inflammable</t>
  </si>
  <si>
    <t xml:space="preserve">Inflammabilité</t>
  </si>
  <si>
    <t xml:space="preserve">GHS02</t>
  </si>
  <si>
    <t xml:space="preserve">P101</t>
  </si>
  <si>
    <t xml:space="preserve">En cas de consultation d'un médecin, garder à disposition le récipient ou l'étiquette</t>
  </si>
  <si>
    <t xml:space="preserve">H221</t>
  </si>
  <si>
    <t xml:space="preserve">Gaz inflammable</t>
  </si>
  <si>
    <t xml:space="preserve">Tenir hors de portée des enfants</t>
  </si>
  <si>
    <t xml:space="preserve">H222</t>
  </si>
  <si>
    <t xml:space="preserve">Aérosol extrêmement inflammable</t>
  </si>
  <si>
    <t xml:space="preserve">P103</t>
  </si>
  <si>
    <t xml:space="preserve">Lire attentivement et bien respecter toutes les instructions</t>
  </si>
  <si>
    <t xml:space="preserve">H223</t>
  </si>
  <si>
    <t xml:space="preserve">Aérosol inflammable</t>
  </si>
  <si>
    <t xml:space="preserve">P201</t>
  </si>
  <si>
    <t xml:space="preserve">Se procurer les instructions spéciales avant utilisation</t>
  </si>
  <si>
    <t xml:space="preserve">H224</t>
  </si>
  <si>
    <t xml:space="preserve">Liquide et vapeurs extrêmement inflammables</t>
  </si>
  <si>
    <t xml:space="preserve">P202</t>
  </si>
  <si>
    <t xml:space="preserve">Ne pas manipuler avant d'avoir lu et compris toutes les précautions de sécurité</t>
  </si>
  <si>
    <t xml:space="preserve">H225</t>
  </si>
  <si>
    <t xml:space="preserve">Liquide et vapeurs très inflammables</t>
  </si>
  <si>
    <t xml:space="preserve">P210</t>
  </si>
  <si>
    <t xml:space="preserve">Tenir à l'écart de la chaleur, des surfaces chaudes, des étincelles, des flammes nues — Ne pas fumer</t>
  </si>
  <si>
    <t xml:space="preserve">H226</t>
  </si>
  <si>
    <t xml:space="preserve">Liquide et vapeurs inflammables</t>
  </si>
  <si>
    <t xml:space="preserve">P211</t>
  </si>
  <si>
    <t xml:space="preserve">Ne pas vaporiser sur une flamme nue ou sur toute autre source d'ignition</t>
  </si>
  <si>
    <t xml:space="preserve">H228</t>
  </si>
  <si>
    <t xml:space="preserve">Matière solide inflammable</t>
  </si>
  <si>
    <t xml:space="preserve">P233</t>
  </si>
  <si>
    <t xml:space="preserve">Maintenir le récipient fermé de manière étanche</t>
  </si>
  <si>
    <t xml:space="preserve">H229</t>
  </si>
  <si>
    <t xml:space="preserve">Récipient sous pression : peut éclater sous l'effet de la chaleur</t>
  </si>
  <si>
    <t xml:space="preserve">P235</t>
  </si>
  <si>
    <t xml:space="preserve">Tenir au frais</t>
  </si>
  <si>
    <t xml:space="preserve">H240</t>
  </si>
  <si>
    <t xml:space="preserve">Peut exploser sous l'effet de la chaleur</t>
  </si>
  <si>
    <t xml:space="preserve">Explosif</t>
  </si>
  <si>
    <t xml:space="preserve">GHS01</t>
  </si>
  <si>
    <t xml:space="preserve">P240</t>
  </si>
  <si>
    <t xml:space="preserve">Mise à la terre et liaison équipotentielle du récipient et du matériel de réception</t>
  </si>
  <si>
    <t xml:space="preserve">H242</t>
  </si>
  <si>
    <t xml:space="preserve">Peut s'enflammer sous l'effet de la chaleur</t>
  </si>
  <si>
    <t xml:space="preserve">P243</t>
  </si>
  <si>
    <t xml:space="preserve">Prendre des mesures de précaution contre les décharges électrostatiques</t>
  </si>
  <si>
    <t xml:space="preserve">H250</t>
  </si>
  <si>
    <t xml:space="preserve">S'enflamme spontanément au contact de l'air</t>
  </si>
  <si>
    <t xml:space="preserve">P251</t>
  </si>
  <si>
    <t xml:space="preserve">Ne pas perforer, ni brûler, même après usage</t>
  </si>
  <si>
    <t xml:space="preserve">H251</t>
  </si>
  <si>
    <t xml:space="preserve">Matière auto-échauffante ; peut s'enflammer</t>
  </si>
  <si>
    <t xml:space="preserve">Ne pas respirer les poussières / fumées / gaz / brouillards / vapeurs / aérosols</t>
  </si>
  <si>
    <t xml:space="preserve">H260</t>
  </si>
  <si>
    <t xml:space="preserve">Dégage, au contact de l'eau, des gaz inflammables (inflammation spontanée possible)</t>
  </si>
  <si>
    <t xml:space="preserve">P261</t>
  </si>
  <si>
    <t xml:space="preserve">Éviter de respirer les poussières / fumées / gaz / brouillards / vapeurs / aérosols</t>
  </si>
  <si>
    <t xml:space="preserve">H261</t>
  </si>
  <si>
    <t xml:space="preserve">Dégage, au contact de l'eau, des gaz inflammables</t>
  </si>
  <si>
    <t xml:space="preserve">P264</t>
  </si>
  <si>
    <t xml:space="preserve">Se laver soigneusement après manipulation</t>
  </si>
  <si>
    <t xml:space="preserve">H270</t>
  </si>
  <si>
    <t xml:space="preserve">Peut provoquer ou aggraver un incendie ; comburant</t>
  </si>
  <si>
    <t xml:space="preserve">Comburant</t>
  </si>
  <si>
    <t xml:space="preserve">GHS03</t>
  </si>
  <si>
    <t xml:space="preserve">P271</t>
  </si>
  <si>
    <t xml:space="preserve">Utiliser seulement en plein air ou dans un endroit bien ventilé</t>
  </si>
  <si>
    <t xml:space="preserve">H271</t>
  </si>
  <si>
    <t xml:space="preserve">Peut provoquer un incendie ou une explosion ; comburant puissant</t>
  </si>
  <si>
    <t xml:space="preserve">P272</t>
  </si>
  <si>
    <t xml:space="preserve">Les vêtements de travail contaminés ne devraient pas sortir du lieu de travail</t>
  </si>
  <si>
    <t xml:space="preserve">H272</t>
  </si>
  <si>
    <t xml:space="preserve">Peut aggraver un incendie ; comburant</t>
  </si>
  <si>
    <t xml:space="preserve">P273</t>
  </si>
  <si>
    <t xml:space="preserve">Éviter le rejet dans l'environnement</t>
  </si>
  <si>
    <t xml:space="preserve">Contient un gaz sous pression ; peut exploser sous l'effet de la chaleur</t>
  </si>
  <si>
    <t xml:space="preserve">Gaz sous pression</t>
  </si>
  <si>
    <t xml:space="preserve">GHS04</t>
  </si>
  <si>
    <t xml:space="preserve">P280</t>
  </si>
  <si>
    <t xml:space="preserve">Porter des gants de protection / des vêtements de protection / un équipement de protection des yeux / du visage</t>
  </si>
  <si>
    <t xml:space="preserve">Contient un gaz réfrigéré ; peut causer des brûlures ou blessures cryogéniques</t>
  </si>
  <si>
    <t xml:space="preserve">P282</t>
  </si>
  <si>
    <t xml:space="preserve">Porter des gants isolants contre le froid et un équipement de protection du visage / des yeux</t>
  </si>
  <si>
    <t xml:space="preserve">H290</t>
  </si>
  <si>
    <t xml:space="preserve">Peut être corrosif pour les métaux</t>
  </si>
  <si>
    <t xml:space="preserve">Corrosion</t>
  </si>
  <si>
    <t xml:space="preserve">GHS05</t>
  </si>
  <si>
    <t xml:space="preserve">P284</t>
  </si>
  <si>
    <t xml:space="preserve">Porter un équipement de protection respiratoire</t>
  </si>
  <si>
    <t xml:space="preserve">H300</t>
  </si>
  <si>
    <t xml:space="preserve">Mortel en cas d'ingestion</t>
  </si>
  <si>
    <t xml:space="preserve">Toxicité aiguë</t>
  </si>
  <si>
    <t xml:space="preserve">GHS06</t>
  </si>
  <si>
    <t xml:space="preserve">P301+P310</t>
  </si>
  <si>
    <t xml:space="preserve">EN CAS D'INGESTION : appeler immédiatement un centre antipoison ou un médecin</t>
  </si>
  <si>
    <t xml:space="preserve">H301</t>
  </si>
  <si>
    <t xml:space="preserve">Toxique en cas d'ingestion</t>
  </si>
  <si>
    <t xml:space="preserve">P301+P330+P331</t>
  </si>
  <si>
    <t xml:space="preserve">EN CAS D'INGESTION : rincer la bouche. NE PAS faire vomir</t>
  </si>
  <si>
    <t xml:space="preserve">H302</t>
  </si>
  <si>
    <t xml:space="preserve">Nocif en cas d'ingestion</t>
  </si>
  <si>
    <t xml:space="preserve">Nocif – irritant</t>
  </si>
  <si>
    <t xml:space="preserve">GHS07</t>
  </si>
  <si>
    <t xml:space="preserve">P302+P352</t>
  </si>
  <si>
    <t xml:space="preserve">EN CAS DE CONTACT AVEC LA PEAU : laver abondamment à l'eau</t>
  </si>
  <si>
    <t xml:space="preserve">H304</t>
  </si>
  <si>
    <t xml:space="preserve">Peut être mortel en cas d'ingestion et de pénétration dans les voies respiratoires</t>
  </si>
  <si>
    <t xml:space="preserve">Danger par aspiration</t>
  </si>
  <si>
    <t xml:space="preserve">GHS08</t>
  </si>
  <si>
    <t xml:space="preserve">P303+P361+P353</t>
  </si>
  <si>
    <t xml:space="preserve">EN CAS DE CONTACT AVEC LA PEAU (ou les cheveux) : enlever immédiatement les vêtements contaminés. Rincer la peau à l'eau</t>
  </si>
  <si>
    <t xml:space="preserve">H310</t>
  </si>
  <si>
    <t xml:space="preserve">Mortel par contact cutané</t>
  </si>
  <si>
    <t xml:space="preserve">P304+P340</t>
  </si>
  <si>
    <t xml:space="preserve">EN CAS D'INHALATION : transporter la personne à l'air frais et la maintenir dans une position où elle peut confortablement respirer</t>
  </si>
  <si>
    <t xml:space="preserve">H311</t>
  </si>
  <si>
    <t xml:space="preserve">Toxique par contact cutané</t>
  </si>
  <si>
    <t xml:space="preserve">P305+P351+P338</t>
  </si>
  <si>
    <t xml:space="preserve">EN CAS DE CONTACT AVEC LES YEUX : rincer avec précaution à l'eau pendant plusieurs minutes. Enlever les lentilles de contact si possible. Continuer à rincer</t>
  </si>
  <si>
    <t xml:space="preserve">H312</t>
  </si>
  <si>
    <t xml:space="preserve">Nocif par contact cutané</t>
  </si>
  <si>
    <t xml:space="preserve">P308+P313</t>
  </si>
  <si>
    <t xml:space="preserve">EN CAS d'exposition prouvée ou suspectée : consulter un médecin</t>
  </si>
  <si>
    <t xml:space="preserve">H314</t>
  </si>
  <si>
    <t xml:space="preserve">Provoque des brûlures de la peau et de graves lésions des yeux</t>
  </si>
  <si>
    <t xml:space="preserve">P310</t>
  </si>
  <si>
    <t xml:space="preserve">Appeler immédiatement un centre antipoison ou un médecin</t>
  </si>
  <si>
    <t xml:space="preserve">H315</t>
  </si>
  <si>
    <t xml:space="preserve">Provoque une irritation cutanée</t>
  </si>
  <si>
    <t xml:space="preserve">P312</t>
  </si>
  <si>
    <t xml:space="preserve">Appeler un centre antipoison ou un médecin en cas de malaise</t>
  </si>
  <si>
    <t xml:space="preserve">H317</t>
  </si>
  <si>
    <t xml:space="preserve">Peut provoquer une allergie cutanée</t>
  </si>
  <si>
    <t xml:space="preserve">Sensibilisant</t>
  </si>
  <si>
    <t xml:space="preserve">P331</t>
  </si>
  <si>
    <t xml:space="preserve">NE PAS faire vomir</t>
  </si>
  <si>
    <t xml:space="preserve">H318</t>
  </si>
  <si>
    <t xml:space="preserve">Provoque de graves lésions des yeux</t>
  </si>
  <si>
    <t xml:space="preserve">P332+P313</t>
  </si>
  <si>
    <t xml:space="preserve">En cas d'irritation cutanée : consulter un médecin</t>
  </si>
  <si>
    <t xml:space="preserve">H319</t>
  </si>
  <si>
    <t xml:space="preserve">Provoque une sévère irritation des yeux</t>
  </si>
  <si>
    <t xml:space="preserve">P333+P313</t>
  </si>
  <si>
    <t xml:space="preserve">En cas d'irritation ou d'éruption cutanée : consulter un médecin</t>
  </si>
  <si>
    <t xml:space="preserve">H330</t>
  </si>
  <si>
    <t xml:space="preserve">Mortel par inhalation</t>
  </si>
  <si>
    <t xml:space="preserve">P336+P315</t>
  </si>
  <si>
    <t xml:space="preserve">Dégeler les parties gelées avec de l'eau tiède. Ne pas frotter les zones touchées. Consulter immédiatement un médecin</t>
  </si>
  <si>
    <t xml:space="preserve">H331</t>
  </si>
  <si>
    <t xml:space="preserve">Toxique par inhalation</t>
  </si>
  <si>
    <t xml:space="preserve">P337+P313</t>
  </si>
  <si>
    <t xml:space="preserve">Si l'irritation oculaire persiste : consulter un médecin</t>
  </si>
  <si>
    <t xml:space="preserve">H332</t>
  </si>
  <si>
    <t xml:space="preserve">Nocif par inhalation</t>
  </si>
  <si>
    <t xml:space="preserve">P362+P364</t>
  </si>
  <si>
    <t xml:space="preserve">Enlever les vêtements contaminés et les laver avant réutilisation</t>
  </si>
  <si>
    <t xml:space="preserve">H334</t>
  </si>
  <si>
    <t xml:space="preserve">Peut provoquer des symptômes allergiques ou d'asthme ou des difficultés respiratoires par inhalation</t>
  </si>
  <si>
    <t xml:space="preserve">P403</t>
  </si>
  <si>
    <t xml:space="preserve">Stocker dans un endroit bien ventilé</t>
  </si>
  <si>
    <t xml:space="preserve">H335</t>
  </si>
  <si>
    <t xml:space="preserve">Peut irriter les voies respiratoires</t>
  </si>
  <si>
    <t xml:space="preserve">P403+P233</t>
  </si>
  <si>
    <t xml:space="preserve">Stocker dans un endroit bien ventilé. Maintenir le récipient fermé de manière étanche</t>
  </si>
  <si>
    <t xml:space="preserve">H336</t>
  </si>
  <si>
    <t xml:space="preserve">Peut provoquer somnolence ou vertiges</t>
  </si>
  <si>
    <t xml:space="preserve">P403+P235</t>
  </si>
  <si>
    <t xml:space="preserve">Stocker dans un endroit bien ventilé. Tenir au frais</t>
  </si>
  <si>
    <t xml:space="preserve">H340</t>
  </si>
  <si>
    <t xml:space="preserve">Peut induire des anomalies génétiques</t>
  </si>
  <si>
    <t xml:space="preserve">CMR – Mutagène cat. 1</t>
  </si>
  <si>
    <t xml:space="preserve">P405</t>
  </si>
  <si>
    <t xml:space="preserve">Garder sous clef</t>
  </si>
  <si>
    <t xml:space="preserve">H341</t>
  </si>
  <si>
    <t xml:space="preserve">Susceptible d'induire des anomalies génétiques</t>
  </si>
  <si>
    <t xml:space="preserve">CMR – Mutagène cat. 2</t>
  </si>
  <si>
    <t xml:space="preserve">P410+P403</t>
  </si>
  <si>
    <t xml:space="preserve">Protéger du rayonnement solaire. Stocker dans un endroit bien ventilé</t>
  </si>
  <si>
    <t xml:space="preserve">H350</t>
  </si>
  <si>
    <t xml:space="preserve">Peut provoquer le cancer</t>
  </si>
  <si>
    <t xml:space="preserve">CMR – Cancérogène cat. 1</t>
  </si>
  <si>
    <t xml:space="preserve">P410+P412</t>
  </si>
  <si>
    <t xml:space="preserve">Protéger du rayonnement solaire. Ne pas exposer à une température supérieure à 50 °C</t>
  </si>
  <si>
    <t xml:space="preserve">H350i</t>
  </si>
  <si>
    <t xml:space="preserve">Peut provoquer le cancer par inhalation</t>
  </si>
  <si>
    <t xml:space="preserve">P501</t>
  </si>
  <si>
    <t xml:space="preserve">Éliminer le contenu / récipient conformément à la réglementation locale</t>
  </si>
  <si>
    <t xml:space="preserve">H351</t>
  </si>
  <si>
    <t xml:space="preserve">Susceptible de provoquer le cancer</t>
  </si>
  <si>
    <t xml:space="preserve">CMR – Cancérogène cat. 2</t>
  </si>
  <si>
    <t xml:space="preserve">H360</t>
  </si>
  <si>
    <t xml:space="preserve">Peut nuire à la fertilité ou au fœtus</t>
  </si>
  <si>
    <t xml:space="preserve">CMR – Reprotoxique cat. 1</t>
  </si>
  <si>
    <t xml:space="preserve">H360D</t>
  </si>
  <si>
    <t xml:space="preserve">Peut nuire au fœtus</t>
  </si>
  <si>
    <t xml:space="preserve">H360F</t>
  </si>
  <si>
    <t xml:space="preserve">Peut nuire à la fertilité</t>
  </si>
  <si>
    <t xml:space="preserve">H360FD</t>
  </si>
  <si>
    <t xml:space="preserve">Peut nuire à la fertilité ; peut nuire au fœtus</t>
  </si>
  <si>
    <t xml:space="preserve">H361</t>
  </si>
  <si>
    <t xml:space="preserve">Susceptible de nuire à la fertilité ou au fœtus</t>
  </si>
  <si>
    <t xml:space="preserve">CMR – Reprotoxique cat. 2</t>
  </si>
  <si>
    <t xml:space="preserve">H361d</t>
  </si>
  <si>
    <t xml:space="preserve">Susceptible de nuire au fœtus</t>
  </si>
  <si>
    <t xml:space="preserve">H361f</t>
  </si>
  <si>
    <t xml:space="preserve">Susceptible de nuire à la fertilité</t>
  </si>
  <si>
    <t xml:space="preserve">H362</t>
  </si>
  <si>
    <t xml:space="preserve">Peut être nocif pour les bébés nourris au lait maternel</t>
  </si>
  <si>
    <t xml:space="preserve">CMR – Effets sur la lactation</t>
  </si>
  <si>
    <t xml:space="preserve">H370</t>
  </si>
  <si>
    <t xml:space="preserve">Risque avéré d'effets graves pour les organes</t>
  </si>
  <si>
    <t xml:space="preserve">Toxicité organes (STOT)</t>
  </si>
  <si>
    <t xml:space="preserve">H371</t>
  </si>
  <si>
    <t xml:space="preserve">Risque présumé d'effets graves pour les organes</t>
  </si>
  <si>
    <t xml:space="preserve">H372</t>
  </si>
  <si>
    <t xml:space="preserve">Risque avéré d'effets graves pour les organes (expositions répétées)</t>
  </si>
  <si>
    <t xml:space="preserve">H373</t>
  </si>
  <si>
    <t xml:space="preserve">Risque présumé d'effets graves pour les organes (expositions répétées)</t>
  </si>
  <si>
    <t xml:space="preserve">H400</t>
  </si>
  <si>
    <t xml:space="preserve">Très toxique pour les organismes aquatiques</t>
  </si>
  <si>
    <t xml:space="preserve">Environnement</t>
  </si>
  <si>
    <t xml:space="preserve">GHS09</t>
  </si>
  <si>
    <t xml:space="preserve">H410</t>
  </si>
  <si>
    <t xml:space="preserve">Très toxique pour les organismes aquatiques, entraîne des effets néfastes à long terme</t>
  </si>
  <si>
    <t xml:space="preserve">H411</t>
  </si>
  <si>
    <t xml:space="preserve">Toxique pour les organismes aquatiques, entraîne des effets néfastes à long terme</t>
  </si>
  <si>
    <t xml:space="preserve">H412</t>
  </si>
  <si>
    <t xml:space="preserve">Nocif pour les organismes aquatiques, entraîne des effets néfastes à long terme</t>
  </si>
  <si>
    <t xml:space="preserve">H413</t>
  </si>
  <si>
    <t xml:space="preserve">Peut être nocif à long terme pour les organismes aquatiques</t>
  </si>
  <si>
    <t xml:space="preserve">EUH031</t>
  </si>
  <si>
    <t xml:space="preserve">Au contact d'un acide, dégage un gaz toxique</t>
  </si>
  <si>
    <t xml:space="preserve">Mention UE additionnelle</t>
  </si>
  <si>
    <t xml:space="preserve">EUH066</t>
  </si>
  <si>
    <t xml:space="preserve">L'exposition répétée peut provoquer dessèchement ou gerçures de la peau</t>
  </si>
  <si>
    <t xml:space="preserve">EUH071</t>
  </si>
  <si>
    <t xml:space="preserve">Corrosif pour les voies respiratoires</t>
  </si>
  <si>
    <t xml:space="preserve">EUH208</t>
  </si>
  <si>
    <t xml:space="preserve">Contient une substance sensibilisante ; peut produire une réaction allergique</t>
  </si>
  <si>
    <t xml:space="preserve">Clé tri FDS</t>
  </si>
  <si>
    <t xml:space="preserve">Clé actions</t>
  </si>
  <si>
    <t xml:space="preserve">Clé quantités</t>
  </si>
  <si>
    <t xml:space="preserve">Pictogramme SGH</t>
  </si>
  <si>
    <t xml:space="preserve">Nb produits</t>
  </si>
  <si>
    <t xml:space="preserve">État FDS</t>
  </si>
  <si>
    <t xml:space="preserve">Nb</t>
  </si>
  <si>
    <t xml:space="preserve">Clé</t>
  </si>
  <si>
    <t xml:space="preserve">Quantité</t>
  </si>
  <si>
    <t xml:space="preserve">Mois</t>
  </si>
  <si>
    <t xml:space="preserve">Taux de conformité</t>
  </si>
  <si>
    <t xml:space="preserve">NbProduits</t>
  </si>
  <si>
    <t xml:space="preserve">GHS01 Explosif</t>
  </si>
  <si>
    <t xml:space="preserve">janv. 2026</t>
  </si>
  <si>
    <t xml:space="preserve">GHS02 Inflammable</t>
  </si>
  <si>
    <t xml:space="preserve">févr. 2026</t>
  </si>
  <si>
    <t xml:space="preserve">GHS03 Comburant</t>
  </si>
  <si>
    <t xml:space="preserve">mars 2026</t>
  </si>
  <si>
    <t xml:space="preserve">GHS04 Gaz sous pression</t>
  </si>
  <si>
    <t xml:space="preserve">avr. 2026</t>
  </si>
  <si>
    <t xml:space="preserve">GHS05 Corrosif</t>
  </si>
  <si>
    <t xml:space="preserve">mai 2026</t>
  </si>
  <si>
    <t xml:space="preserve">GHS06 Toxicité aiguë</t>
  </si>
  <si>
    <t xml:space="preserve">juin 2026</t>
  </si>
  <si>
    <t xml:space="preserve">GHS07 Nocif – irritant</t>
  </si>
  <si>
    <t xml:space="preserve">juil. 2026</t>
  </si>
  <si>
    <t xml:space="preserve">GHS08 Danger grave santé</t>
  </si>
  <si>
    <t xml:space="preserve">août 2026</t>
  </si>
  <si>
    <t xml:space="preserve">GHS09 Environnement</t>
  </si>
  <si>
    <t xml:space="preserve">sept. 2026</t>
  </si>
  <si>
    <t xml:space="preserve">oct. 2026</t>
  </si>
  <si>
    <t xml:space="preserve">nov. 2026</t>
  </si>
  <si>
    <t xml:space="preserve">déc. 2026</t>
  </si>
  <si>
    <t xml:space="preserve">⚠ Relevés janv.–juin = EXEMPLES à remplacer par vos taux réels. Chaque début de mois : figer le taux du mois écoulé (copier/coller la valeur) puis étendre la plage du graphique « Évolution ».</t>
  </si>
</sst>
</file>

<file path=xl/styles.xml><?xml version="1.0" encoding="utf-8"?>
<styleSheet xmlns="http://schemas.openxmlformats.org/spreadsheetml/2006/main">
  <numFmts count="7">
    <numFmt numFmtId="164" formatCode="General"/>
    <numFmt numFmtId="165" formatCode="dd/mm/yyyy"/>
    <numFmt numFmtId="166" formatCode="General"/>
    <numFmt numFmtId="167" formatCode="0%"/>
    <numFmt numFmtId="168" formatCode="#,##0"/>
    <numFmt numFmtId="169" formatCode="0"/>
    <numFmt numFmtId="170" formatCode="0&quot; j&quot;"/>
  </numFmts>
  <fonts count="48">
    <font>
      <sz val="11"/>
      <color theme="1"/>
      <name val="Calibri"/>
      <family val="2"/>
      <charset val="1"/>
    </font>
    <font>
      <sz val="10"/>
      <name val="Arial"/>
      <family val="0"/>
    </font>
    <font>
      <sz val="10"/>
      <name val="Arial"/>
      <family val="0"/>
    </font>
    <font>
      <sz val="10"/>
      <name val="Arial"/>
      <family val="0"/>
    </font>
    <font>
      <b val="true"/>
      <sz val="18"/>
      <color rgb="FF1B4F91"/>
      <name val="Arial"/>
      <family val="0"/>
      <charset val="1"/>
    </font>
    <font>
      <b val="true"/>
      <sz val="18"/>
      <color rgb="FFFBB833"/>
      <name val="Arial"/>
      <family val="0"/>
      <charset val="1"/>
    </font>
    <font>
      <i val="true"/>
      <sz val="10"/>
      <color rgb="FF5B6B7D"/>
      <name val="Arial"/>
      <family val="0"/>
      <charset val="1"/>
    </font>
    <font>
      <b val="true"/>
      <sz val="15"/>
      <color rgb="FF1B4F91"/>
      <name val="Arial"/>
      <family val="0"/>
      <charset val="1"/>
    </font>
    <font>
      <i val="true"/>
      <sz val="9"/>
      <color rgb="FF5B6B7D"/>
      <name val="Arial"/>
      <family val="0"/>
      <charset val="1"/>
    </font>
    <font>
      <b val="true"/>
      <sz val="11"/>
      <color rgb="FFFFFFFF"/>
      <name val="Arial"/>
      <family val="0"/>
      <charset val="1"/>
    </font>
    <font>
      <sz val="9"/>
      <color rgb="FF16233A"/>
      <name val="Arial"/>
      <family val="0"/>
      <charset val="1"/>
    </font>
    <font>
      <b val="true"/>
      <sz val="10"/>
      <color rgb="FFFFFFFF"/>
      <name val="Arial"/>
      <family val="0"/>
      <charset val="1"/>
    </font>
    <font>
      <b val="true"/>
      <sz val="8.5"/>
      <color rgb="FF1E7A46"/>
      <name val="Arial"/>
      <family val="0"/>
      <charset val="1"/>
    </font>
    <font>
      <b val="true"/>
      <sz val="8.5"/>
      <color rgb="FFB4690E"/>
      <name val="Arial"/>
      <family val="0"/>
      <charset val="1"/>
    </font>
    <font>
      <b val="true"/>
      <sz val="8.5"/>
      <color rgb="FF9C2B0E"/>
      <name val="Arial"/>
      <family val="0"/>
      <charset val="1"/>
    </font>
    <font>
      <b val="true"/>
      <sz val="8.5"/>
      <color rgb="FFFFFFFF"/>
      <name val="Arial"/>
      <family val="0"/>
      <charset val="1"/>
    </font>
    <font>
      <b val="true"/>
      <sz val="8.5"/>
      <color rgb="FF8A6100"/>
      <name val="Arial"/>
      <family val="0"/>
      <charset val="1"/>
    </font>
    <font>
      <b val="true"/>
      <sz val="9"/>
      <color rgb="FF16233A"/>
      <name val="Arial"/>
      <family val="0"/>
      <charset val="1"/>
    </font>
    <font>
      <b val="true"/>
      <sz val="9"/>
      <color rgb="FF1B4F91"/>
      <name val="Arial"/>
      <family val="0"/>
      <charset val="1"/>
    </font>
    <font>
      <b val="true"/>
      <sz val="16"/>
      <color rgb="FFFFFFFF"/>
      <name val="Arial"/>
      <family val="0"/>
      <charset val="1"/>
    </font>
    <font>
      <sz val="10"/>
      <color rgb="FFFFFFFF"/>
      <name val="Arial"/>
      <family val="0"/>
      <charset val="1"/>
    </font>
    <font>
      <b val="true"/>
      <sz val="10"/>
      <color rgb="FFFBB833"/>
      <name val="Arial"/>
      <family val="0"/>
      <charset val="1"/>
    </font>
    <font>
      <b val="true"/>
      <sz val="8"/>
      <color rgb="FF5B6B7D"/>
      <name val="Arial"/>
      <family val="0"/>
      <charset val="1"/>
    </font>
    <font>
      <b val="true"/>
      <sz val="20"/>
      <color rgb="FF1B4F91"/>
      <name val="Arial"/>
      <family val="0"/>
      <charset val="1"/>
    </font>
    <font>
      <b val="true"/>
      <sz val="20"/>
      <color rgb="FFE85D25"/>
      <name val="Arial"/>
      <family val="0"/>
      <charset val="1"/>
    </font>
    <font>
      <b val="true"/>
      <sz val="20"/>
      <color rgb="FF8F1D1D"/>
      <name val="Arial"/>
      <family val="0"/>
      <charset val="1"/>
    </font>
    <font>
      <b val="true"/>
      <sz val="20"/>
      <color rgb="FFF5921E"/>
      <name val="Arial"/>
      <family val="0"/>
      <charset val="1"/>
    </font>
    <font>
      <b val="true"/>
      <sz val="20"/>
      <color rgb="FF2E9E5B"/>
      <name val="Arial"/>
      <family val="0"/>
      <charset val="1"/>
    </font>
    <font>
      <b val="true"/>
      <sz val="20"/>
      <color rgb="FF16233A"/>
      <name val="Arial"/>
      <family val="0"/>
      <charset val="1"/>
    </font>
    <font>
      <i val="true"/>
      <sz val="7.5"/>
      <color rgb="FF5B6B7D"/>
      <name val="Arial"/>
      <family val="0"/>
      <charset val="1"/>
    </font>
    <font>
      <sz val="8.5"/>
      <color rgb="FF5B6B7D"/>
      <name val="Arial"/>
      <family val="0"/>
      <charset val="1"/>
    </font>
    <font>
      <i val="true"/>
      <sz val="8"/>
      <color rgb="FF5B6B7D"/>
      <name val="Arial"/>
      <family val="0"/>
      <charset val="1"/>
    </font>
    <font>
      <b val="true"/>
      <sz val="18"/>
      <color rgb="FF000000"/>
      <name val="Calibri"/>
      <family val="2"/>
    </font>
    <font>
      <sz val="10"/>
      <color rgb="FF000000"/>
      <name val="Calibri"/>
      <family val="2"/>
    </font>
    <font>
      <b val="true"/>
      <sz val="10"/>
      <color rgb="FF16233A"/>
      <name val="Arial"/>
      <family val="0"/>
      <charset val="1"/>
    </font>
    <font>
      <b val="true"/>
      <sz val="8.5"/>
      <color rgb="FF16233A"/>
      <name val="Arial"/>
      <family val="0"/>
      <charset val="1"/>
    </font>
    <font>
      <b val="true"/>
      <sz val="15"/>
      <color rgb="FFFFFFFF"/>
      <name val="Arial"/>
      <family val="0"/>
      <charset val="1"/>
    </font>
    <font>
      <b val="true"/>
      <sz val="11"/>
      <color rgb="FF1B4F91"/>
      <name val="Arial"/>
      <family val="0"/>
      <charset val="1"/>
    </font>
    <font>
      <b val="true"/>
      <sz val="9"/>
      <color rgb="FFFFFFFF"/>
      <name val="Arial"/>
      <family val="0"/>
      <charset val="1"/>
    </font>
    <font>
      <b val="true"/>
      <sz val="10"/>
      <color rgb="FF8A6100"/>
      <name val="Arial"/>
      <family val="0"/>
      <charset val="1"/>
    </font>
    <font>
      <b val="true"/>
      <sz val="10"/>
      <color rgb="FF1E7A46"/>
      <name val="Arial"/>
      <family val="0"/>
      <charset val="1"/>
    </font>
    <font>
      <b val="true"/>
      <sz val="10"/>
      <color rgb="FF1B4F91"/>
      <name val="Arial"/>
      <family val="0"/>
      <charset val="1"/>
    </font>
    <font>
      <b val="true"/>
      <sz val="9"/>
      <color rgb="FF1E7A46"/>
      <name val="Arial"/>
      <family val="0"/>
      <charset val="1"/>
    </font>
    <font>
      <b val="true"/>
      <sz val="9"/>
      <color rgb="FF8A6100"/>
      <name val="Arial"/>
      <family val="0"/>
      <charset val="1"/>
    </font>
    <font>
      <b val="true"/>
      <sz val="11"/>
      <color rgb="FF9C2B0E"/>
      <name val="Arial"/>
      <family val="0"/>
      <charset val="1"/>
    </font>
    <font>
      <b val="true"/>
      <sz val="11"/>
      <color rgb="FFB4690E"/>
      <name val="Arial"/>
      <family val="0"/>
      <charset val="1"/>
    </font>
    <font>
      <b val="true"/>
      <sz val="11"/>
      <color rgb="FF1E7A46"/>
      <name val="Arial"/>
      <family val="0"/>
      <charset val="1"/>
    </font>
    <font>
      <b val="true"/>
      <sz val="14"/>
      <color rgb="FFFFFFFF"/>
      <name val="Arial"/>
      <family val="0"/>
      <charset val="1"/>
    </font>
  </fonts>
  <fills count="19">
    <fill>
      <patternFill patternType="none"/>
    </fill>
    <fill>
      <patternFill patternType="gray125"/>
    </fill>
    <fill>
      <patternFill patternType="solid">
        <fgColor rgb="FF1B4F91"/>
        <bgColor rgb="FF003366"/>
      </patternFill>
    </fill>
    <fill>
      <patternFill patternType="solid">
        <fgColor rgb="FFE85D25"/>
        <bgColor rgb="FFB4690E"/>
      </patternFill>
    </fill>
    <fill>
      <patternFill patternType="solid">
        <fgColor rgb="FFD5EFDD"/>
        <bgColor rgb="FFE4E9EF"/>
      </patternFill>
    </fill>
    <fill>
      <patternFill patternType="solid">
        <fgColor rgb="FFFDE9D2"/>
        <bgColor rgb="FFFCEBE7"/>
      </patternFill>
    </fill>
    <fill>
      <patternFill patternType="solid">
        <fgColor rgb="FFF9D3C8"/>
        <bgColor rgb="FFFDE9D2"/>
      </patternFill>
    </fill>
    <fill>
      <patternFill patternType="solid">
        <fgColor rgb="FF8F1D1D"/>
        <bgColor rgb="FF9C2B0E"/>
      </patternFill>
    </fill>
    <fill>
      <patternFill patternType="solid">
        <fgColor rgb="FFF5921E"/>
        <bgColor rgb="FFFBB833"/>
      </patternFill>
    </fill>
    <fill>
      <patternFill patternType="solid">
        <fgColor rgb="FFFFE9B8"/>
        <bgColor rgb="FFFDE9D2"/>
      </patternFill>
    </fill>
    <fill>
      <patternFill patternType="solid">
        <fgColor rgb="FFEAF4FB"/>
        <bgColor rgb="FFF3F6FA"/>
      </patternFill>
    </fill>
    <fill>
      <patternFill patternType="solid">
        <fgColor rgb="FFF6F9FC"/>
        <bgColor rgb="FFF3F6FA"/>
      </patternFill>
    </fill>
    <fill>
      <patternFill patternType="solid">
        <fgColor rgb="FFFFFFFF"/>
        <bgColor rgb="FFF6F9FC"/>
      </patternFill>
    </fill>
    <fill>
      <patternFill patternType="solid">
        <fgColor rgb="FF2E8FCE"/>
        <bgColor rgb="FF4F81BD"/>
      </patternFill>
    </fill>
    <fill>
      <patternFill patternType="solid">
        <fgColor rgb="FF5B6B7D"/>
        <bgColor rgb="FF4F81BD"/>
      </patternFill>
    </fill>
    <fill>
      <patternFill patternType="solid">
        <fgColor rgb="FFFBB833"/>
        <bgColor rgb="FFF5921E"/>
      </patternFill>
    </fill>
    <fill>
      <patternFill patternType="solid">
        <fgColor rgb="FF16233A"/>
        <bgColor rgb="FF003366"/>
      </patternFill>
    </fill>
    <fill>
      <patternFill patternType="solid">
        <fgColor rgb="FF7C8BA0"/>
        <bgColor rgb="FF878787"/>
      </patternFill>
    </fill>
    <fill>
      <patternFill patternType="solid">
        <fgColor rgb="FFF3F6FA"/>
        <bgColor rgb="FFF6F9FC"/>
      </patternFill>
    </fill>
  </fills>
  <borders count="7">
    <border diagonalUp="false" diagonalDown="false">
      <left/>
      <right/>
      <top/>
      <bottom/>
      <diagonal/>
    </border>
    <border diagonalUp="false" diagonalDown="false">
      <left style="thin">
        <color rgb="FFE4E9EF"/>
      </left>
      <right style="thin">
        <color rgb="FFE4E9EF"/>
      </right>
      <top style="thin">
        <color rgb="FFE4E9EF"/>
      </top>
      <bottom style="thin">
        <color rgb="FFE4E9EF"/>
      </bottom>
      <diagonal/>
    </border>
    <border diagonalUp="false" diagonalDown="false">
      <left style="medium">
        <color rgb="FFE4E9EF"/>
      </left>
      <right style="medium">
        <color rgb="FFE4E9EF"/>
      </right>
      <top style="medium">
        <color rgb="FFE4E9EF"/>
      </top>
      <bottom/>
      <diagonal/>
    </border>
    <border diagonalUp="false" diagonalDown="false">
      <left style="medium">
        <color rgb="FFE4E9EF"/>
      </left>
      <right style="medium">
        <color rgb="FFE4E9EF"/>
      </right>
      <top/>
      <bottom style="medium">
        <color rgb="FFE4E9EF"/>
      </bottom>
      <diagonal/>
    </border>
    <border diagonalUp="false" diagonalDown="false">
      <left style="medium">
        <color rgb="FFE4E9EF"/>
      </left>
      <right/>
      <top/>
      <bottom style="medium">
        <color rgb="FFE4E9EF"/>
      </bottom>
      <diagonal/>
    </border>
    <border diagonalUp="false" diagonalDown="false">
      <left/>
      <right style="medium">
        <color rgb="FFE4E9EF"/>
      </right>
      <top/>
      <bottom style="medium">
        <color rgb="FFE4E9EF"/>
      </bottom>
      <diagonal/>
    </border>
    <border diagonalUp="false" diagonalDown="false">
      <left style="medium">
        <color rgb="FFE4E9EF"/>
      </left>
      <right style="medium">
        <color rgb="FFE4E9EF"/>
      </right>
      <top style="medium">
        <color rgb="FFE4E9EF"/>
      </top>
      <bottom style="medium">
        <color rgb="FFE4E9E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right" vertical="center" textRotation="0" wrapText="false" indent="0" shrinkToFit="false"/>
      <protection locked="true" hidden="false"/>
    </xf>
    <xf numFmtId="164" fontId="5" fillId="0" borderId="0" xfId="0" applyFont="true" applyBorder="false" applyAlignment="true" applyProtection="false">
      <alignment horizontal="left" vertical="center" textRotation="0" wrapText="true" indent="0" shrinkToFit="false"/>
      <protection locked="true" hidden="false"/>
    </xf>
    <xf numFmtId="164" fontId="6" fillId="0" borderId="0" xfId="0" applyFont="true" applyBorder="true" applyAlignment="true" applyProtection="false">
      <alignment horizontal="left" vertical="center" textRotation="0" wrapText="true" indent="0" shrinkToFit="false"/>
      <protection locked="true" hidden="false"/>
    </xf>
    <xf numFmtId="164" fontId="7" fillId="0" borderId="0" xfId="0" applyFont="true" applyBorder="true" applyAlignment="true" applyProtection="false">
      <alignment horizontal="left" vertical="center" textRotation="0" wrapText="true" indent="0" shrinkToFit="false"/>
      <protection locked="true" hidden="false"/>
    </xf>
    <xf numFmtId="164" fontId="8" fillId="0" borderId="0" xfId="0" applyFont="true" applyBorder="true" applyAlignment="true" applyProtection="false">
      <alignment horizontal="left" vertical="center" textRotation="0" wrapText="true" indent="0" shrinkToFit="false"/>
      <protection locked="true" hidden="false"/>
    </xf>
    <xf numFmtId="164" fontId="9" fillId="2" borderId="0" xfId="0" applyFont="true" applyBorder="true" applyAlignment="true" applyProtection="false">
      <alignment horizontal="left" vertical="center" textRotation="0" wrapText="true" indent="0" shrinkToFit="false"/>
      <protection locked="true" hidden="false"/>
    </xf>
    <xf numFmtId="164" fontId="10" fillId="0" borderId="0" xfId="0" applyFont="true" applyBorder="true" applyAlignment="true" applyProtection="false">
      <alignment horizontal="left" vertical="top" textRotation="0" wrapText="true" indent="0" shrinkToFit="false"/>
      <protection locked="true" hidden="false"/>
    </xf>
    <xf numFmtId="164" fontId="11" fillId="3" borderId="0" xfId="0" applyFont="true" applyBorder="true" applyAlignment="true" applyProtection="false">
      <alignment horizontal="center" vertical="center" textRotation="0" wrapText="true" indent="0" shrinkToFit="false"/>
      <protection locked="true" hidden="false"/>
    </xf>
    <xf numFmtId="164" fontId="12" fillId="4" borderId="1" xfId="0" applyFont="true" applyBorder="true" applyAlignment="true" applyProtection="false">
      <alignment horizontal="center" vertical="center" textRotation="0" wrapText="true" indent="0" shrinkToFit="false"/>
      <protection locked="true" hidden="false"/>
    </xf>
    <xf numFmtId="164" fontId="10" fillId="0" borderId="0" xfId="0" applyFont="true" applyBorder="true" applyAlignment="true" applyProtection="false">
      <alignment horizontal="left" vertical="center" textRotation="0" wrapText="true" indent="0" shrinkToFit="false"/>
      <protection locked="true" hidden="false"/>
    </xf>
    <xf numFmtId="164" fontId="13" fillId="5" borderId="1" xfId="0" applyFont="true" applyBorder="true" applyAlignment="true" applyProtection="false">
      <alignment horizontal="center" vertical="center" textRotation="0" wrapText="true" indent="0" shrinkToFit="false"/>
      <protection locked="true" hidden="false"/>
    </xf>
    <xf numFmtId="164" fontId="14" fillId="6" borderId="1" xfId="0" applyFont="true" applyBorder="true" applyAlignment="true" applyProtection="false">
      <alignment horizontal="center" vertical="center" textRotation="0" wrapText="true" indent="0" shrinkToFit="false"/>
      <protection locked="true" hidden="false"/>
    </xf>
    <xf numFmtId="164" fontId="15" fillId="7" borderId="1" xfId="0" applyFont="true" applyBorder="true" applyAlignment="true" applyProtection="false">
      <alignment horizontal="center" vertical="center" textRotation="0" wrapText="true" indent="0" shrinkToFit="false"/>
      <protection locked="true" hidden="false"/>
    </xf>
    <xf numFmtId="164" fontId="15" fillId="3" borderId="1" xfId="0" applyFont="true" applyBorder="true" applyAlignment="true" applyProtection="false">
      <alignment horizontal="center" vertical="center" textRotation="0" wrapText="true" indent="0" shrinkToFit="false"/>
      <protection locked="true" hidden="false"/>
    </xf>
    <xf numFmtId="164" fontId="15" fillId="8" borderId="1" xfId="0" applyFont="true" applyBorder="true" applyAlignment="true" applyProtection="false">
      <alignment horizontal="center" vertical="center" textRotation="0" wrapText="true" indent="0" shrinkToFit="false"/>
      <protection locked="true" hidden="false"/>
    </xf>
    <xf numFmtId="164" fontId="16" fillId="9" borderId="1" xfId="0" applyFont="true" applyBorder="true" applyAlignment="true" applyProtection="false">
      <alignment horizontal="center" vertical="center" textRotation="0" wrapText="true" indent="0" shrinkToFit="false"/>
      <protection locked="true" hidden="false"/>
    </xf>
    <xf numFmtId="164" fontId="17" fillId="0" borderId="0" xfId="0" applyFont="true" applyBorder="true" applyAlignment="true" applyProtection="false">
      <alignment horizontal="left" vertical="top" textRotation="0" wrapText="true" indent="0" shrinkToFit="false"/>
      <protection locked="true" hidden="false"/>
    </xf>
    <xf numFmtId="164" fontId="18" fillId="10" borderId="0" xfId="0" applyFont="true" applyBorder="true" applyAlignment="true" applyProtection="false">
      <alignment horizontal="center" vertical="center" textRotation="0" wrapText="tru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19" fillId="2" borderId="0" xfId="0" applyFont="true" applyBorder="true" applyAlignment="true" applyProtection="false">
      <alignment horizontal="left" vertical="center" textRotation="0" wrapText="true" indent="0" shrinkToFit="false"/>
      <protection locked="true" hidden="false"/>
    </xf>
    <xf numFmtId="164" fontId="20" fillId="2" borderId="0" xfId="0" applyFont="true" applyBorder="false" applyAlignment="true" applyProtection="false">
      <alignment horizontal="right" vertical="center" textRotation="0" wrapText="false" indent="0" shrinkToFit="false"/>
      <protection locked="true" hidden="false"/>
    </xf>
    <xf numFmtId="165" fontId="21" fillId="2" borderId="0" xfId="0" applyFont="true" applyBorder="false" applyAlignment="true" applyProtection="false">
      <alignment horizontal="left" vertical="center" textRotation="0" wrapText="true" indent="0" shrinkToFit="false"/>
      <protection locked="true" hidden="false"/>
    </xf>
    <xf numFmtId="164" fontId="21" fillId="2" borderId="0" xfId="0" applyFont="true" applyBorder="true" applyAlignment="true" applyProtection="false">
      <alignment horizontal="left" vertical="center" textRotation="0" wrapText="true" indent="0" shrinkToFit="false"/>
      <protection locked="true" hidden="false"/>
    </xf>
    <xf numFmtId="164" fontId="0" fillId="11" borderId="0" xfId="0" applyFont="false" applyBorder="false" applyAlignment="false" applyProtection="false">
      <alignment horizontal="general" vertical="bottom" textRotation="0" wrapText="false" indent="0" shrinkToFit="false"/>
      <protection locked="true" hidden="false"/>
    </xf>
    <xf numFmtId="164" fontId="22" fillId="12" borderId="2" xfId="0" applyFont="true" applyBorder="true" applyAlignment="true" applyProtection="false">
      <alignment horizontal="center" vertical="center" textRotation="0" wrapText="true" indent="0" shrinkToFit="false"/>
      <protection locked="true" hidden="false"/>
    </xf>
    <xf numFmtId="166" fontId="23" fillId="12" borderId="3" xfId="0" applyFont="true" applyBorder="true" applyAlignment="true" applyProtection="false">
      <alignment horizontal="center" vertical="center" textRotation="0" wrapText="true" indent="0" shrinkToFit="false"/>
      <protection locked="true" hidden="false"/>
    </xf>
    <xf numFmtId="166" fontId="24" fillId="12" borderId="3" xfId="0" applyFont="true" applyBorder="true" applyAlignment="true" applyProtection="false">
      <alignment horizontal="center" vertical="center" textRotation="0" wrapText="true" indent="0" shrinkToFit="false"/>
      <protection locked="true" hidden="false"/>
    </xf>
    <xf numFmtId="166" fontId="25" fillId="12" borderId="3" xfId="0" applyFont="true" applyBorder="true" applyAlignment="true" applyProtection="false">
      <alignment horizontal="center" vertical="center" textRotation="0" wrapText="true" indent="0" shrinkToFit="false"/>
      <protection locked="true" hidden="false"/>
    </xf>
    <xf numFmtId="166" fontId="26" fillId="12" borderId="3" xfId="0" applyFont="true" applyBorder="true" applyAlignment="true" applyProtection="false">
      <alignment horizontal="center" vertical="center" textRotation="0" wrapText="true" indent="0" shrinkToFit="false"/>
      <protection locked="true" hidden="false"/>
    </xf>
    <xf numFmtId="166" fontId="27" fillId="12" borderId="3" xfId="0" applyFont="true" applyBorder="true" applyAlignment="true" applyProtection="false">
      <alignment horizontal="center" vertical="center" textRotation="0" wrapText="true" indent="0" shrinkToFit="false"/>
      <protection locked="true" hidden="false"/>
    </xf>
    <xf numFmtId="167" fontId="28" fillId="12" borderId="4" xfId="0" applyFont="true" applyBorder="true" applyAlignment="true" applyProtection="false">
      <alignment horizontal="center" vertical="center" textRotation="0" wrapText="true" indent="0" shrinkToFit="false"/>
      <protection locked="true" hidden="false"/>
    </xf>
    <xf numFmtId="164" fontId="28" fillId="12" borderId="5" xfId="0" applyFont="true" applyBorder="true" applyAlignment="true" applyProtection="false">
      <alignment horizontal="center" vertical="center" textRotation="0" wrapText="true" indent="0" shrinkToFit="false"/>
      <protection locked="true" hidden="false"/>
    </xf>
    <xf numFmtId="164" fontId="29" fillId="11" borderId="0" xfId="0" applyFont="true" applyBorder="true" applyAlignment="true" applyProtection="false">
      <alignment horizontal="center" vertical="center" textRotation="0" wrapText="true" indent="0" shrinkToFit="false"/>
      <protection locked="true" hidden="false"/>
    </xf>
    <xf numFmtId="164" fontId="30" fillId="12" borderId="6" xfId="0" applyFont="true" applyBorder="true" applyAlignment="true" applyProtection="false">
      <alignment horizontal="left" vertical="top" textRotation="0" wrapText="true" indent="0" shrinkToFit="false"/>
      <protection locked="true" hidden="false"/>
    </xf>
    <xf numFmtId="164" fontId="31" fillId="11" borderId="0" xfId="0" applyFont="true" applyBorder="true" applyAlignment="true" applyProtection="false">
      <alignment horizontal="left" vertical="center" textRotation="0" wrapText="true" indent="0" shrinkToFit="false"/>
      <protection locked="true" hidden="false"/>
    </xf>
    <xf numFmtId="164" fontId="11" fillId="2" borderId="0" xfId="0" applyFont="true" applyBorder="true" applyAlignment="true" applyProtection="false">
      <alignment horizontal="center" vertical="center" textRotation="0" wrapText="true" indent="0" shrinkToFit="false"/>
      <protection locked="true" hidden="false"/>
    </xf>
    <xf numFmtId="164" fontId="11" fillId="13" borderId="0" xfId="0" applyFont="true" applyBorder="true" applyAlignment="true" applyProtection="false">
      <alignment horizontal="center" vertical="center" textRotation="0" wrapText="true" indent="0" shrinkToFit="false"/>
      <protection locked="true" hidden="false"/>
    </xf>
    <xf numFmtId="164" fontId="11" fillId="14" borderId="0" xfId="0" applyFont="true" applyBorder="true" applyAlignment="true" applyProtection="false">
      <alignment horizontal="center" vertical="center" textRotation="0" wrapText="true" indent="0" shrinkToFit="false"/>
      <protection locked="true" hidden="false"/>
    </xf>
    <xf numFmtId="164" fontId="34" fillId="15" borderId="0" xfId="0" applyFont="true" applyBorder="true" applyAlignment="true" applyProtection="false">
      <alignment horizontal="center" vertical="center" textRotation="0" wrapText="true" indent="0" shrinkToFit="false"/>
      <protection locked="true" hidden="false"/>
    </xf>
    <xf numFmtId="164" fontId="11" fillId="16" borderId="0" xfId="0" applyFont="true" applyBorder="true" applyAlignment="true" applyProtection="false">
      <alignment horizontal="center" vertical="center" textRotation="0" wrapText="true" indent="0" shrinkToFit="false"/>
      <protection locked="true" hidden="false"/>
    </xf>
    <xf numFmtId="164" fontId="11" fillId="8" borderId="0" xfId="0" applyFont="true" applyBorder="true" applyAlignment="true" applyProtection="false">
      <alignment horizontal="center" vertical="center" textRotation="0" wrapText="true" indent="0" shrinkToFit="false"/>
      <protection locked="true" hidden="false"/>
    </xf>
    <xf numFmtId="164" fontId="11" fillId="17" borderId="0" xfId="0" applyFont="true" applyBorder="true" applyAlignment="true" applyProtection="false">
      <alignment horizontal="center" vertical="center" textRotation="0" wrapText="true" indent="0" shrinkToFit="false"/>
      <protection locked="true" hidden="false"/>
    </xf>
    <xf numFmtId="164" fontId="15" fillId="2" borderId="1" xfId="0" applyFont="true" applyBorder="true" applyAlignment="true" applyProtection="false">
      <alignment horizontal="center" vertical="center" textRotation="0" wrapText="true" indent="0" shrinkToFit="false"/>
      <protection locked="true" hidden="false"/>
    </xf>
    <xf numFmtId="164" fontId="15" fillId="13" borderId="1" xfId="0" applyFont="true" applyBorder="true" applyAlignment="true" applyProtection="false">
      <alignment horizontal="center" vertical="center" textRotation="0" wrapText="true" indent="0" shrinkToFit="false"/>
      <protection locked="true" hidden="false"/>
    </xf>
    <xf numFmtId="164" fontId="15" fillId="14" borderId="1" xfId="0" applyFont="true" applyBorder="true" applyAlignment="true" applyProtection="false">
      <alignment horizontal="center" vertical="center" textRotation="0" wrapText="true" indent="0" shrinkToFit="false"/>
      <protection locked="true" hidden="false"/>
    </xf>
    <xf numFmtId="164" fontId="35" fillId="15" borderId="1" xfId="0" applyFont="true" applyBorder="true" applyAlignment="true" applyProtection="false">
      <alignment horizontal="center" vertical="center" textRotation="0" wrapText="true" indent="0" shrinkToFit="false"/>
      <protection locked="true" hidden="false"/>
    </xf>
    <xf numFmtId="164" fontId="15" fillId="16" borderId="1" xfId="0" applyFont="true" applyBorder="true" applyAlignment="true" applyProtection="false">
      <alignment horizontal="center" vertical="center" textRotation="0" wrapText="true" indent="0" shrinkToFit="false"/>
      <protection locked="true" hidden="false"/>
    </xf>
    <xf numFmtId="164" fontId="15" fillId="17" borderId="1" xfId="0" applyFont="true" applyBorder="true" applyAlignment="true" applyProtection="false">
      <alignment horizontal="center" vertical="center" textRotation="0" wrapText="true" indent="0" shrinkToFit="false"/>
      <protection locked="true" hidden="false"/>
    </xf>
    <xf numFmtId="164" fontId="8" fillId="18"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false" hidden="false"/>
    </xf>
    <xf numFmtId="164" fontId="10" fillId="0" borderId="1" xfId="0" applyFont="true" applyBorder="true" applyAlignment="true" applyProtection="true">
      <alignment horizontal="center" vertical="center" textRotation="0" wrapText="true" indent="0" shrinkToFit="false"/>
      <protection locked="false" hidden="false"/>
    </xf>
    <xf numFmtId="168" fontId="10" fillId="0" borderId="1" xfId="0" applyFont="true" applyBorder="true" applyAlignment="true" applyProtection="true">
      <alignment horizontal="center" vertical="center" textRotation="0" wrapText="true" indent="0" shrinkToFit="false"/>
      <protection locked="false" hidden="false"/>
    </xf>
    <xf numFmtId="164" fontId="8" fillId="18" borderId="1" xfId="0" applyFont="true" applyBorder="true" applyAlignment="true" applyProtection="false">
      <alignment horizontal="left" vertical="center" textRotation="0" wrapText="true" indent="0" shrinkToFit="false"/>
      <protection locked="true" hidden="false"/>
    </xf>
    <xf numFmtId="165" fontId="10" fillId="0" borderId="1" xfId="0" applyFont="true" applyBorder="true" applyAlignment="true" applyProtection="true">
      <alignment horizontal="center" vertical="center" textRotation="0" wrapText="true" indent="0" shrinkToFit="false"/>
      <protection locked="false" hidden="false"/>
    </xf>
    <xf numFmtId="165" fontId="8" fillId="18" borderId="1" xfId="0" applyFont="true" applyBorder="true" applyAlignment="true" applyProtection="false">
      <alignment horizontal="left" vertical="center" textRotation="0" wrapText="true" indent="0" shrinkToFit="false"/>
      <protection locked="true" hidden="false"/>
    </xf>
    <xf numFmtId="169" fontId="8" fillId="18" borderId="1" xfId="0" applyFont="true" applyBorder="true" applyAlignment="true" applyProtection="false">
      <alignment horizontal="center" vertical="center" textRotation="0" wrapText="true" indent="0" shrinkToFit="false"/>
      <protection locked="true" hidden="false"/>
    </xf>
    <xf numFmtId="167" fontId="10" fillId="0" borderId="1" xfId="0" applyFont="true" applyBorder="true" applyAlignment="true" applyProtection="true">
      <alignment horizontal="center" vertical="center" textRotation="0" wrapText="true" indent="0" shrinkToFit="false"/>
      <protection locked="false" hidden="false"/>
    </xf>
    <xf numFmtId="164" fontId="36" fillId="2" borderId="0" xfId="0" applyFont="true" applyBorder="true" applyAlignment="true" applyProtection="false">
      <alignment horizontal="left" vertical="center" textRotation="0" wrapText="true" indent="0" shrinkToFit="false"/>
      <protection locked="true" hidden="false"/>
    </xf>
    <xf numFmtId="164" fontId="37" fillId="0" borderId="0" xfId="0" applyFont="true" applyBorder="true" applyAlignment="true" applyProtection="false">
      <alignment horizontal="left" vertical="center" textRotation="0" wrapText="true" indent="0" shrinkToFit="false"/>
      <protection locked="true" hidden="false"/>
    </xf>
    <xf numFmtId="164" fontId="38" fillId="14" borderId="1" xfId="0" applyFont="true" applyBorder="true" applyAlignment="true" applyProtection="false">
      <alignment horizontal="center" vertical="center" textRotation="0" wrapText="true" indent="0" shrinkToFit="false"/>
      <protection locked="true" hidden="false"/>
    </xf>
    <xf numFmtId="164" fontId="11" fillId="14" borderId="1" xfId="0" applyFont="true" applyBorder="true" applyAlignment="true" applyProtection="false">
      <alignment horizontal="center" vertical="center" textRotation="0" wrapText="true" indent="0" shrinkToFit="false"/>
      <protection locked="true" hidden="false"/>
    </xf>
    <xf numFmtId="164" fontId="39" fillId="9" borderId="1" xfId="0" applyFont="true" applyBorder="true" applyAlignment="true" applyProtection="false">
      <alignment horizontal="center" vertical="center" textRotation="0" wrapText="true" indent="0" shrinkToFit="false"/>
      <protection locked="true" hidden="false"/>
    </xf>
    <xf numFmtId="164" fontId="11" fillId="8" borderId="1" xfId="0" applyFont="true" applyBorder="true" applyAlignment="true" applyProtection="false">
      <alignment horizontal="center" vertical="center" textRotation="0" wrapText="true" indent="0" shrinkToFit="false"/>
      <protection locked="true" hidden="false"/>
    </xf>
    <xf numFmtId="164" fontId="11" fillId="3" borderId="1" xfId="0" applyFont="true" applyBorder="true" applyAlignment="true" applyProtection="false">
      <alignment horizontal="center" vertical="center" textRotation="0" wrapText="true" indent="0" shrinkToFit="false"/>
      <protection locked="true" hidden="false"/>
    </xf>
    <xf numFmtId="164" fontId="40" fillId="4" borderId="1" xfId="0" applyFont="true" applyBorder="true" applyAlignment="true" applyProtection="false">
      <alignment horizontal="center" vertical="center" textRotation="0" wrapText="true" indent="0" shrinkToFit="false"/>
      <protection locked="true" hidden="false"/>
    </xf>
    <xf numFmtId="164" fontId="41" fillId="0" borderId="0" xfId="0" applyFont="tru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41" fillId="0" borderId="0" xfId="0" applyFont="true" applyBorder="false" applyAlignment="false" applyProtection="false">
      <alignment horizontal="general" vertical="bottom" textRotation="0" wrapText="false" indent="0" shrinkToFit="false"/>
      <protection locked="true" hidden="false"/>
    </xf>
    <xf numFmtId="164" fontId="42" fillId="4" borderId="1" xfId="0" applyFont="true" applyBorder="true" applyAlignment="true" applyProtection="false">
      <alignment horizontal="center" vertical="center" textRotation="0" wrapText="true" indent="0" shrinkToFit="false"/>
      <protection locked="true" hidden="false"/>
    </xf>
    <xf numFmtId="164" fontId="42" fillId="4" borderId="1" xfId="0" applyFont="true" applyBorder="true" applyAlignment="true" applyProtection="false">
      <alignment horizontal="left" vertical="center" textRotation="0" wrapText="true" indent="0" shrinkToFit="false"/>
      <protection locked="true" hidden="false"/>
    </xf>
    <xf numFmtId="164" fontId="43" fillId="9" borderId="1" xfId="0" applyFont="true" applyBorder="true" applyAlignment="true" applyProtection="false">
      <alignment horizontal="center" vertical="center" textRotation="0" wrapText="true" indent="0" shrinkToFit="false"/>
      <protection locked="true" hidden="false"/>
    </xf>
    <xf numFmtId="164" fontId="43" fillId="9" borderId="1" xfId="0" applyFont="true" applyBorder="true" applyAlignment="true" applyProtection="false">
      <alignment horizontal="left" vertical="center" textRotation="0" wrapText="true" indent="0" shrinkToFit="false"/>
      <protection locked="true" hidden="false"/>
    </xf>
    <xf numFmtId="164" fontId="38" fillId="8" borderId="1" xfId="0" applyFont="true" applyBorder="true" applyAlignment="true" applyProtection="false">
      <alignment horizontal="center" vertical="center" textRotation="0" wrapText="true" indent="0" shrinkToFit="false"/>
      <protection locked="true" hidden="false"/>
    </xf>
    <xf numFmtId="164" fontId="38" fillId="8" borderId="1" xfId="0" applyFont="true" applyBorder="true" applyAlignment="true" applyProtection="false">
      <alignment horizontal="left" vertical="center" textRotation="0" wrapText="true" indent="0" shrinkToFit="false"/>
      <protection locked="true" hidden="false"/>
    </xf>
    <xf numFmtId="164" fontId="38" fillId="3" borderId="1" xfId="0" applyFont="true" applyBorder="true" applyAlignment="true" applyProtection="false">
      <alignment horizontal="center" vertical="center" textRotation="0" wrapText="true" indent="0" shrinkToFit="false"/>
      <protection locked="true" hidden="false"/>
    </xf>
    <xf numFmtId="164" fontId="38" fillId="3" borderId="1" xfId="0" applyFont="true" applyBorder="true" applyAlignment="true" applyProtection="false">
      <alignment horizontal="left" vertical="center" textRotation="0" wrapText="true" indent="0" shrinkToFit="false"/>
      <protection locked="true" hidden="false"/>
    </xf>
    <xf numFmtId="164" fontId="17" fillId="0" borderId="0" xfId="0" applyFont="true" applyBorder="true" applyAlignment="true" applyProtection="false">
      <alignment horizontal="right" vertical="center" textRotation="0" wrapText="false" indent="0" shrinkToFit="false"/>
      <protection locked="true" hidden="false"/>
    </xf>
    <xf numFmtId="166" fontId="44" fillId="0" borderId="0" xfId="0" applyFont="true" applyBorder="false" applyAlignment="true" applyProtection="false">
      <alignment horizontal="center" vertical="center" textRotation="0" wrapText="true" indent="0" shrinkToFit="false"/>
      <protection locked="true" hidden="false"/>
    </xf>
    <xf numFmtId="166" fontId="45" fillId="0" borderId="0" xfId="0" applyFont="true" applyBorder="false" applyAlignment="true" applyProtection="false">
      <alignment horizontal="center" vertical="center" textRotation="0" wrapText="true" indent="0" shrinkToFit="false"/>
      <protection locked="true" hidden="false"/>
    </xf>
    <xf numFmtId="166" fontId="46" fillId="0" borderId="0" xfId="0" applyFont="true" applyBorder="false" applyAlignment="true" applyProtection="false">
      <alignment horizontal="center" vertical="center" textRotation="0" wrapText="true" indent="0" shrinkToFit="false"/>
      <protection locked="true" hidden="false"/>
    </xf>
    <xf numFmtId="164" fontId="31" fillId="0" borderId="0" xfId="0" applyFont="true" applyBorder="true" applyAlignment="true" applyProtection="false">
      <alignment horizontal="left" vertical="center" textRotation="0" wrapText="true" indent="0" shrinkToFit="false"/>
      <protection locked="true" hidden="false"/>
    </xf>
    <xf numFmtId="164" fontId="38" fillId="2"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9" fontId="10" fillId="0" borderId="1" xfId="0" applyFont="true" applyBorder="true" applyAlignment="true" applyProtection="false">
      <alignment horizontal="center" vertical="center" textRotation="0" wrapText="true" indent="0" shrinkToFit="false"/>
      <protection locked="true" hidden="false"/>
    </xf>
    <xf numFmtId="165" fontId="10" fillId="0" borderId="1" xfId="0" applyFont="true" applyBorder="true" applyAlignment="true" applyProtection="false">
      <alignment horizontal="center" vertical="center" textRotation="0" wrapText="true" indent="0" shrinkToFit="false"/>
      <protection locked="true" hidden="false"/>
    </xf>
    <xf numFmtId="167" fontId="10" fillId="0" borderId="1" xfId="0" applyFont="true" applyBorder="true" applyAlignment="true" applyProtection="false">
      <alignment horizontal="center" vertical="center" textRotation="0" wrapText="true" indent="0" shrinkToFit="false"/>
      <protection locked="true" hidden="false"/>
    </xf>
    <xf numFmtId="170" fontId="10" fillId="0" borderId="1" xfId="0" applyFont="true" applyBorder="true" applyAlignment="true" applyProtection="false">
      <alignment horizontal="center" vertical="center" textRotation="0" wrapText="tru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5" fontId="41" fillId="0" borderId="0" xfId="0" applyFont="true" applyBorder="false" applyAlignment="true" applyProtection="false">
      <alignment horizontal="center" vertical="center" textRotation="0" wrapText="true" indent="0" shrinkToFit="false"/>
      <protection locked="true" hidden="false"/>
    </xf>
    <xf numFmtId="164" fontId="47" fillId="2" borderId="0" xfId="0" applyFont="true" applyBorder="true" applyAlignment="true" applyProtection="false">
      <alignment horizontal="left" vertical="center" textRotation="0" wrapText="true" indent="0" shrinkToFit="false"/>
      <protection locked="true" hidden="false"/>
    </xf>
    <xf numFmtId="164" fontId="0" fillId="0" borderId="1" xfId="0" applyFont="false" applyBorder="true" applyAlignment="false" applyProtection="true">
      <alignment horizontal="general" vertical="bottom" textRotation="0" wrapText="false" indent="0" shrinkToFit="false"/>
      <protection locked="fals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38" fillId="13" borderId="1" xfId="0" applyFont="true" applyBorder="true" applyAlignment="true" applyProtection="false">
      <alignment horizontal="center" vertical="center" textRotation="0" wrapText="true" indent="0" shrinkToFit="false"/>
      <protection locked="true" hidden="false"/>
    </xf>
    <xf numFmtId="164" fontId="17" fillId="0" borderId="1" xfId="0" applyFont="true" applyBorder="true" applyAlignment="true" applyProtection="false">
      <alignment horizontal="center" vertical="center" textRotation="0" wrapText="tru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8" fontId="0" fillId="0" borderId="0" xfId="0" applyFont="false" applyBorder="false" applyAlignment="false" applyProtection="false">
      <alignment horizontal="general" vertical="bottom" textRotation="0" wrapText="false" indent="0" shrinkToFit="false"/>
      <protection locked="true" hidden="false"/>
    </xf>
    <xf numFmtId="167" fontId="0" fillId="0" borderId="0" xfId="0" applyFont="false" applyBorder="false" applyAlignment="false" applyProtection="false">
      <alignment horizontal="general" vertical="bottom" textRotation="0" wrapText="false" indent="0" shrinkToFit="false"/>
      <protection locked="true" hidden="false"/>
    </xf>
    <xf numFmtId="164" fontId="31"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3">
    <dxf>
      <font>
        <name val="Arial"/>
        <charset val="1"/>
        <family val="0"/>
        <b val="1"/>
        <color rgb="FF1E7A46"/>
        <sz val="20"/>
      </font>
      <fill>
        <patternFill>
          <bgColor rgb="FFD5EFDD"/>
        </patternFill>
      </fill>
    </dxf>
    <dxf>
      <font>
        <name val="Arial"/>
        <charset val="1"/>
        <family val="0"/>
        <b val="1"/>
        <color rgb="FFB4690E"/>
        <sz val="20"/>
      </font>
      <fill>
        <patternFill>
          <bgColor rgb="FFFDE9D2"/>
        </patternFill>
      </fill>
    </dxf>
    <dxf>
      <font>
        <name val="Arial"/>
        <charset val="1"/>
        <family val="0"/>
        <b val="1"/>
        <color rgb="FF9C2B0E"/>
        <sz val="20"/>
      </font>
      <fill>
        <patternFill>
          <bgColor rgb="FFF9D3C8"/>
        </patternFill>
      </fill>
    </dxf>
    <dxf>
      <fill>
        <patternFill patternType="solid">
          <fgColor rgb="FF1B4F91"/>
          <bgColor rgb="FF000000"/>
        </patternFill>
      </fill>
    </dxf>
    <dxf>
      <fill>
        <patternFill patternType="solid">
          <fgColor rgb="FFF3F6FA"/>
          <bgColor rgb="FF000000"/>
        </patternFill>
      </fill>
    </dxf>
    <dxf>
      <fill>
        <patternFill patternType="solid">
          <fgColor rgb="FFFCEBE7"/>
          <bgColor rgb="FF000000"/>
        </patternFill>
      </fill>
    </dxf>
    <dxf>
      <fill>
        <patternFill patternType="solid">
          <fgColor rgb="FF5B6B7D"/>
          <bgColor rgb="FF000000"/>
        </patternFill>
      </fill>
    </dxf>
    <dxf>
      <fill>
        <patternFill patternType="solid">
          <fgColor rgb="FFFFFFFF"/>
          <bgColor rgb="FF000000"/>
        </patternFill>
      </fill>
    </dxf>
    <dxf>
      <fill>
        <patternFill patternType="solid">
          <bgColor rgb="FF000000"/>
        </patternFill>
      </fill>
    </dxf>
    <dxf>
      <fill>
        <patternFill patternType="solid">
          <fgColor rgb="FF16233A"/>
          <bgColor rgb="FF000000"/>
        </patternFill>
      </fill>
    </dxf>
    <dxf>
      <fill>
        <patternFill patternType="solid">
          <fgColor rgb="FF2E8FCE"/>
          <bgColor rgb="FF000000"/>
        </patternFill>
      </fill>
    </dxf>
    <dxf>
      <fill>
        <patternFill patternType="solid">
          <fgColor rgb="FFF9D3C8"/>
          <bgColor rgb="FF000000"/>
        </patternFill>
      </fill>
    </dxf>
    <dxf>
      <fill>
        <patternFill patternType="solid">
          <fgColor rgb="FF9C2B0E"/>
          <bgColor rgb="FF000000"/>
        </patternFill>
      </fill>
    </dxf>
    <dxf>
      <fill>
        <patternFill patternType="solid">
          <fgColor rgb="FFE85D25"/>
          <bgColor rgb="FF000000"/>
        </patternFill>
      </fill>
    </dxf>
    <dxf>
      <fill>
        <patternFill patternType="solid">
          <fgColor rgb="FFFBB833"/>
          <bgColor rgb="FF000000"/>
        </patternFill>
      </fill>
    </dxf>
    <dxf>
      <fill>
        <patternFill patternType="solid">
          <fgColor rgb="FFD5EFDD"/>
          <bgColor rgb="FF000000"/>
        </patternFill>
      </fill>
    </dxf>
    <dxf>
      <fill>
        <patternFill patternType="solid">
          <fgColor rgb="FFFDE9D2"/>
          <bgColor rgb="FF000000"/>
        </patternFill>
      </fill>
    </dxf>
    <dxf>
      <fill>
        <patternFill patternType="solid">
          <fgColor rgb="FF1E7A46"/>
          <bgColor rgb="FF000000"/>
        </patternFill>
      </fill>
    </dxf>
    <dxf>
      <fill>
        <patternFill patternType="solid">
          <fgColor rgb="FFB4690E"/>
          <bgColor rgb="FF000000"/>
        </patternFill>
      </fill>
    </dxf>
    <dxf>
      <fill>
        <patternFill patternType="solid">
          <fgColor rgb="FFF5921E"/>
          <bgColor rgb="FF000000"/>
        </patternFill>
      </fill>
    </dxf>
    <dxf>
      <fill>
        <patternFill patternType="solid">
          <fgColor rgb="FFFFE9B8"/>
          <bgColor rgb="FF000000"/>
        </patternFill>
      </fill>
    </dxf>
    <dxf>
      <fill>
        <patternFill patternType="solid">
          <fgColor rgb="FF8A6100"/>
          <bgColor rgb="FF000000"/>
        </patternFill>
      </fill>
    </dxf>
    <dxf>
      <fill>
        <patternFill patternType="solid">
          <fgColor rgb="FF7C8BA0"/>
          <bgColor rgb="FF000000"/>
        </patternFill>
      </fill>
    </dxf>
    <dxf>
      <fill>
        <patternFill>
          <bgColor rgb="FFFCEBE7"/>
        </patternFill>
      </fill>
    </dxf>
    <dxf>
      <font>
        <name val="Arial"/>
        <charset val="1"/>
        <family val="0"/>
        <b val="1"/>
        <color rgb="FF1E7A46"/>
        <sz val="9"/>
      </font>
      <fill>
        <patternFill>
          <bgColor rgb="FFD5EFDD"/>
        </patternFill>
      </fill>
    </dxf>
    <dxf>
      <font>
        <name val="Arial"/>
        <charset val="1"/>
        <family val="0"/>
        <b val="1"/>
        <color rgb="FFB4690E"/>
        <sz val="9"/>
      </font>
      <fill>
        <patternFill>
          <bgColor rgb="FFFDE9D2"/>
        </patternFill>
      </fill>
    </dxf>
    <dxf>
      <font>
        <name val="Arial"/>
        <charset val="1"/>
        <family val="0"/>
        <b val="1"/>
        <color rgb="FF9C2B0E"/>
        <sz val="9"/>
      </font>
      <fill>
        <patternFill>
          <bgColor rgb="FFF9D3C8"/>
        </patternFill>
      </fill>
    </dxf>
    <dxf>
      <font>
        <name val="Arial"/>
        <charset val="1"/>
        <family val="0"/>
        <b val="1"/>
        <color rgb="FFFFFFFF"/>
        <sz val="9"/>
      </font>
      <fill>
        <patternFill>
          <bgColor rgb="FF8F1D1D"/>
        </patternFill>
      </fill>
    </dxf>
    <dxf>
      <font>
        <name val="Arial"/>
        <charset val="1"/>
        <family val="0"/>
        <b val="1"/>
        <color rgb="FFFFFFFF"/>
        <sz val="9"/>
      </font>
      <fill>
        <patternFill>
          <bgColor rgb="FFE85D25"/>
        </patternFill>
      </fill>
    </dxf>
    <dxf>
      <font>
        <name val="Arial"/>
        <charset val="1"/>
        <family val="0"/>
        <b val="1"/>
        <color rgb="FFFFFFFF"/>
        <sz val="9"/>
      </font>
      <fill>
        <patternFill>
          <bgColor rgb="FFF5921E"/>
        </patternFill>
      </fill>
    </dxf>
    <dxf>
      <font>
        <name val="Arial"/>
        <charset val="1"/>
        <family val="0"/>
        <b val="1"/>
        <color rgb="FF8A6100"/>
        <sz val="9"/>
      </font>
      <fill>
        <patternFill>
          <bgColor rgb="FFFFE9B8"/>
        </patternFill>
      </fill>
    </dxf>
    <dxf>
      <font>
        <name val="Arial"/>
        <charset val="1"/>
        <family val="0"/>
        <b val="1"/>
        <color rgb="FF1B4F91"/>
        <sz val="9"/>
      </font>
      <fill>
        <patternFill>
          <bgColor rgb="FFEAF4FB"/>
        </patternFill>
      </fill>
    </dxf>
    <dxf>
      <font>
        <name val="Arial"/>
        <charset val="1"/>
        <family val="0"/>
        <b val="1"/>
        <color rgb="FF5B6B7D"/>
        <sz val="9"/>
      </font>
      <fill>
        <patternFill>
          <bgColor rgb="FFE4E9EF"/>
        </patternFill>
      </fill>
    </dxf>
  </dxfs>
  <colors>
    <indexedColors>
      <rgbColor rgb="FF000000"/>
      <rgbColor rgb="FFFFFFFF"/>
      <rgbColor rgb="FFFF0000"/>
      <rgbColor rgb="FF00FF00"/>
      <rgbColor rgb="FF0000FF"/>
      <rgbColor rgb="FFFFFF00"/>
      <rgbColor rgb="FFFF00FF"/>
      <rgbColor rgb="FF00FFFF"/>
      <rgbColor rgb="FF8F1D1D"/>
      <rgbColor rgb="FF008000"/>
      <rgbColor rgb="FF000080"/>
      <rgbColor rgb="FF8A6100"/>
      <rgbColor rgb="FF800080"/>
      <rgbColor rgb="FF1E7A46"/>
      <rgbColor rgb="FFFCEBE7"/>
      <rgbColor rgb="FF878787"/>
      <rgbColor rgb="FF9999FF"/>
      <rgbColor rgb="FFB4690E"/>
      <rgbColor rgb="FFFDE9D2"/>
      <rgbColor rgb="FFEAF4FB"/>
      <rgbColor rgb="FF660066"/>
      <rgbColor rgb="FFFF8080"/>
      <rgbColor rgb="FF0066CC"/>
      <rgbColor rgb="FFD9D9D9"/>
      <rgbColor rgb="FF000080"/>
      <rgbColor rgb="FFFF00FF"/>
      <rgbColor rgb="FFFFFF00"/>
      <rgbColor rgb="FF00FFFF"/>
      <rgbColor rgb="FF800080"/>
      <rgbColor rgb="FF800000"/>
      <rgbColor rgb="FF2E8FCE"/>
      <rgbColor rgb="FF0000FF"/>
      <rgbColor rgb="FF00CCFF"/>
      <rgbColor rgb="FFE4E9EF"/>
      <rgbColor rgb="FFD5EFDD"/>
      <rgbColor rgb="FFFFE9B8"/>
      <rgbColor rgb="FFF3F6FA"/>
      <rgbColor rgb="FFF6F9FC"/>
      <rgbColor rgb="FFCC99FF"/>
      <rgbColor rgb="FFF9D3C8"/>
      <rgbColor rgb="FF4F81BD"/>
      <rgbColor rgb="FF33CCCC"/>
      <rgbColor rgb="FF99CC00"/>
      <rgbColor rgb="FFFBB833"/>
      <rgbColor rgb="FFF5921E"/>
      <rgbColor rgb="FFE85D25"/>
      <rgbColor rgb="FF5B6B7D"/>
      <rgbColor rgb="FF7C8BA0"/>
      <rgbColor rgb="FF003366"/>
      <rgbColor rgb="FF2E9E5B"/>
      <rgbColor rgb="FF003300"/>
      <rgbColor rgb="FF333300"/>
      <rgbColor rgb="FF9C2B0E"/>
      <rgbColor rgb="FF993366"/>
      <rgbColor rgb="FF1B4F91"/>
      <rgbColor rgb="FF16233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Répartition par pictogramme SGH</a:t>
            </a:r>
          </a:p>
        </c:rich>
      </c:tx>
      <c:overlay val="0"/>
      <c:spPr>
        <a:noFill/>
        <a:ln w="0">
          <a:noFill/>
        </a:ln>
      </c:spPr>
    </c:title>
    <c:autoTitleDeleted val="0"/>
    <c:plotArea>
      <c:barChart>
        <c:barDir val="col"/>
        <c:grouping val="clustered"/>
        <c:varyColors val="0"/>
        <c:ser>
          <c:idx val="0"/>
          <c:order val="0"/>
          <c:spPr>
            <a:solidFill>
              <a:srgbClr val="1b4f91"/>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 CALCULS (auto)'!$E$2:$E$10</c:f>
              <c:strCache>
                <c:ptCount val="9"/>
                <c:pt idx="0">
                  <c:v>GHS01 Explosif</c:v>
                </c:pt>
                <c:pt idx="1">
                  <c:v>GHS02 Inflammable</c:v>
                </c:pt>
                <c:pt idx="2">
                  <c:v>GHS03 Comburant</c:v>
                </c:pt>
                <c:pt idx="3">
                  <c:v>GHS04 Gaz sous pression</c:v>
                </c:pt>
                <c:pt idx="4">
                  <c:v>GHS05 Corrosif</c:v>
                </c:pt>
                <c:pt idx="5">
                  <c:v>GHS06 Toxicité aiguë</c:v>
                </c:pt>
                <c:pt idx="6">
                  <c:v>GHS07 Nocif – irritant</c:v>
                </c:pt>
                <c:pt idx="7">
                  <c:v>GHS08 Danger grave santé</c:v>
                </c:pt>
                <c:pt idx="8">
                  <c:v>GHS09 Environnement</c:v>
                </c:pt>
              </c:strCache>
            </c:strRef>
          </c:cat>
          <c:val>
            <c:numRef>
              <c:f>'🧮 CALCULS (auto)'!$F$2:$F$10</c:f>
              <c:numCache>
                <c:formatCode>General</c:formatCode>
                <c:ptCount val="9"/>
                <c:pt idx="0">
                  <c:v>0</c:v>
                </c:pt>
                <c:pt idx="1">
                  <c:v>8</c:v>
                </c:pt>
                <c:pt idx="2">
                  <c:v>0</c:v>
                </c:pt>
                <c:pt idx="3">
                  <c:v>2</c:v>
                </c:pt>
                <c:pt idx="4">
                  <c:v>4</c:v>
                </c:pt>
                <c:pt idx="5">
                  <c:v>0</c:v>
                </c:pt>
                <c:pt idx="6">
                  <c:v>11</c:v>
                </c:pt>
                <c:pt idx="7">
                  <c:v>4</c:v>
                </c:pt>
                <c:pt idx="8">
                  <c:v>5</c:v>
                </c:pt>
              </c:numCache>
            </c:numRef>
          </c:val>
        </c:ser>
        <c:gapWidth val="60"/>
        <c:overlap val="0"/>
        <c:axId val="23217554"/>
        <c:axId val="17285349"/>
      </c:barChart>
      <c:catAx>
        <c:axId val="23217554"/>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7285349"/>
        <c:crosses val="autoZero"/>
        <c:auto val="1"/>
        <c:lblAlgn val="ctr"/>
        <c:lblOffset val="100"/>
        <c:noMultiLvlLbl val="0"/>
      </c:catAx>
      <c:valAx>
        <c:axId val="17285349"/>
        <c:scaling>
          <c:orientation val="minMax"/>
        </c:scaling>
        <c:delete val="0"/>
        <c:axPos val="l"/>
        <c:majorGridlines>
          <c:spPr>
            <a:ln w="9360">
              <a:solidFill>
                <a:srgbClr val="878787"/>
              </a:solidFill>
              <a:round/>
            </a:ln>
          </c:spPr>
        </c:majorGridlines>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23217554"/>
        <c:crosses val="autoZero"/>
        <c:crossBetween val="between"/>
      </c:valAx>
      <c:spPr>
        <a:noFill/>
        <a:ln w="0">
          <a:noFill/>
        </a:ln>
      </c:spPr>
    </c:plotArea>
    <c:plotVisOnly val="0"/>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État des FDS</a:t>
            </a:r>
          </a:p>
        </c:rich>
      </c:tx>
      <c:overlay val="0"/>
      <c:spPr>
        <a:noFill/>
        <a:ln w="0">
          <a:noFill/>
        </a:ln>
      </c:spPr>
    </c:title>
    <c:autoTitleDeleted val="0"/>
    <c:plotArea>
      <c:doughnutChart>
        <c:varyColors val="1"/>
        <c:ser>
          <c:idx val="0"/>
          <c:order val="0"/>
          <c:spPr>
            <a:solidFill>
              <a:srgbClr val="4f81bd"/>
            </a:solidFill>
            <a:ln w="0">
              <a:noFill/>
            </a:ln>
          </c:spPr>
          <c:explosion val="0"/>
          <c:dPt>
            <c:idx val="0"/>
            <c:spPr>
              <a:solidFill>
                <a:srgbClr val="2e9e5b"/>
              </a:solidFill>
              <a:ln w="0">
                <a:noFill/>
              </a:ln>
            </c:spPr>
          </c:dPt>
          <c:dPt>
            <c:idx val="1"/>
            <c:spPr>
              <a:solidFill>
                <a:srgbClr val="f5921e"/>
              </a:solidFill>
              <a:ln w="0">
                <a:noFill/>
              </a:ln>
            </c:spPr>
          </c:dPt>
          <c:dPt>
            <c:idx val="2"/>
            <c:spPr>
              <a:solidFill>
                <a:srgbClr val="e85d25"/>
              </a:solidFill>
              <a:ln w="0">
                <a:noFill/>
              </a:ln>
            </c:spPr>
          </c:dPt>
          <c:dPt>
            <c:idx val="3"/>
            <c:spPr>
              <a:solidFill>
                <a:srgbClr val="8f1d1d"/>
              </a:solidFill>
              <a:ln w="0">
                <a:noFill/>
              </a:ln>
            </c:spPr>
          </c:dPt>
          <c:dLbls>
            <c:dLbl>
              <c:idx val="0"/>
              <c:txPr>
                <a:bodyPr wrap="square"/>
                <a:lstStyle/>
                <a:p>
                  <a:pPr>
                    <a:defRPr b="0" sz="1000" spc="-1" strike="noStrike">
                      <a:solidFill>
                        <a:srgbClr val="000000"/>
                      </a:solidFill>
                      <a:latin typeface="Calibri"/>
                    </a:defRPr>
                  </a:pPr>
                </a:p>
              </c:txPr>
              <c:showLegendKey val="1"/>
              <c:showVal val="1"/>
              <c:showCatName val="1"/>
              <c:showSerName val="1"/>
              <c:showPercent val="1"/>
              <c:separator>; </c:separator>
            </c:dLbl>
            <c:dLbl>
              <c:idx val="1"/>
              <c:txPr>
                <a:bodyPr wrap="square"/>
                <a:lstStyle/>
                <a:p>
                  <a:pPr>
                    <a:defRPr b="0" sz="1000" spc="-1" strike="noStrike">
                      <a:solidFill>
                        <a:srgbClr val="000000"/>
                      </a:solidFill>
                      <a:latin typeface="Calibri"/>
                    </a:defRPr>
                  </a:pPr>
                </a:p>
              </c:txPr>
              <c:showLegendKey val="1"/>
              <c:showVal val="1"/>
              <c:showCatName val="1"/>
              <c:showSerName val="1"/>
              <c:showPercent val="1"/>
              <c:separator>; </c:separator>
            </c:dLbl>
            <c:dLbl>
              <c:idx val="2"/>
              <c:txPr>
                <a:bodyPr wrap="square"/>
                <a:lstStyle/>
                <a:p>
                  <a:pPr>
                    <a:defRPr b="0" sz="1000" spc="-1" strike="noStrike">
                      <a:solidFill>
                        <a:srgbClr val="000000"/>
                      </a:solidFill>
                      <a:latin typeface="Calibri"/>
                    </a:defRPr>
                  </a:pPr>
                </a:p>
              </c:txPr>
              <c:showLegendKey val="1"/>
              <c:showVal val="1"/>
              <c:showCatName val="1"/>
              <c:showSerName val="1"/>
              <c:showPercent val="1"/>
              <c:separator>; </c:separator>
            </c:dLbl>
            <c:dLbl>
              <c:idx val="3"/>
              <c:txPr>
                <a:bodyPr wrap="square"/>
                <a:lstStyle/>
                <a:p>
                  <a:pPr>
                    <a:defRPr b="0" sz="1000" spc="-1" strike="noStrike">
                      <a:solidFill>
                        <a:srgbClr val="000000"/>
                      </a:solidFill>
                      <a:latin typeface="Calibri"/>
                    </a:defRPr>
                  </a:pPr>
                </a:p>
              </c:txPr>
              <c:showLegendKey val="1"/>
              <c:showVal val="1"/>
              <c:showCatName val="1"/>
              <c:showSerName val="1"/>
              <c:showPercent val="1"/>
              <c:separator>; </c:separator>
            </c:dLbl>
            <c:txPr>
              <a:bodyPr wrap="square"/>
              <a:lstStyle/>
              <a:p>
                <a:pPr>
                  <a:defRPr b="0" sz="1000" spc="-1" strike="noStrike">
                    <a:solidFill>
                      <a:srgbClr val="000000"/>
                    </a:solidFill>
                    <a:latin typeface="Calibri"/>
                  </a:defRPr>
                </a:pPr>
              </a:p>
            </c:txPr>
            <c:showLegendKey val="1"/>
            <c:showVal val="1"/>
            <c:showCatName val="1"/>
            <c:showSerName val="1"/>
            <c:showPercent val="1"/>
            <c:separator>; </c:separator>
            <c:showLeaderLines val="1"/>
          </c:dLbls>
          <c:cat>
            <c:strRef>
              <c:f>'🧮 CALCULS (auto)'!$N$2:$N$5</c:f>
              <c:strCache>
                <c:ptCount val="4"/>
                <c:pt idx="0">
                  <c:v>CONFORME</c:v>
                </c:pt>
                <c:pt idx="1">
                  <c:v>À RENOUVELER</c:v>
                </c:pt>
                <c:pt idx="2">
                  <c:v>EXPIRÉE</c:v>
                </c:pt>
                <c:pt idx="3">
                  <c:v>FDS ABSENTE</c:v>
                </c:pt>
              </c:strCache>
            </c:strRef>
          </c:cat>
          <c:val>
            <c:numRef>
              <c:f>'🧮 CALCULS (auto)'!$O$2:$O$5</c:f>
              <c:numCache>
                <c:formatCode>General</c:formatCode>
                <c:ptCount val="4"/>
                <c:pt idx="0">
                  <c:v>14</c:v>
                </c:pt>
                <c:pt idx="1">
                  <c:v>2</c:v>
                </c:pt>
                <c:pt idx="2">
                  <c:v>2</c:v>
                </c:pt>
                <c:pt idx="3">
                  <c:v>2</c:v>
                </c:pt>
              </c:numCache>
            </c:numRef>
          </c:val>
        </c:ser>
        <c:firstSliceAng val="0"/>
        <c:holeSize val="50"/>
      </c:doughnutChart>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0"/>
    <c:dispBlanksAs val="gap"/>
  </c:chart>
  <c:spPr>
    <a:solidFill>
      <a:srgbClr val="ffffff"/>
    </a:solidFill>
    <a:ln w="9360">
      <a:solidFill>
        <a:srgbClr val="d9d9d9"/>
      </a:solidFill>
      <a:round/>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Produits par atelier / zone et état FDS</a:t>
            </a:r>
          </a:p>
        </c:rich>
      </c:tx>
      <c:overlay val="0"/>
      <c:spPr>
        <a:noFill/>
        <a:ln w="0">
          <a:noFill/>
        </a:ln>
      </c:spPr>
    </c:title>
    <c:autoTitleDeleted val="0"/>
    <c:plotArea>
      <c:barChart>
        <c:barDir val="col"/>
        <c:grouping val="stacked"/>
        <c:varyColors val="0"/>
        <c:ser>
          <c:idx val="0"/>
          <c:order val="0"/>
          <c:tx>
            <c:strRef>
              <c:f>'🧮 CALCULS (auto)'!I1</c:f>
              <c:strCache>
                <c:ptCount val="1"/>
                <c:pt idx="0">
                  <c:v>CONFORME</c:v>
                </c:pt>
              </c:strCache>
            </c:strRef>
          </c:tx>
          <c:spPr>
            <a:solidFill>
              <a:srgbClr val="2e9e5b"/>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 CALCULS (auto)'!$H$2:$H$9</c:f>
              <c:strCache>
                <c:ptCount val="8"/>
                <c:pt idx="0">
                  <c:v>Atelier recharge extincteurs</c:v>
                </c:pt>
                <c:pt idx="1">
                  <c:v>Atelier maintenance</c:v>
                </c:pt>
                <c:pt idx="2">
                  <c:v>Magasin – Stock chimique</c:v>
                </c:pt>
                <c:pt idx="3">
                  <c:v>Local batteries &amp; onduleurs</c:v>
                </c:pt>
                <c:pt idx="4">
                  <c:v>Laboratoire – Banc d'essais</c:v>
                </c:pt>
                <c:pt idx="5">
                  <c:v>Local groupe électrogène</c:v>
                </c:pt>
                <c:pt idx="6">
                  <c:v>Véhicules d'intervention</c:v>
                </c:pt>
                <c:pt idx="7">
                  <c:v>Zone déchets</c:v>
                </c:pt>
              </c:strCache>
            </c:strRef>
          </c:cat>
          <c:val>
            <c:numRef>
              <c:f>'🧮 CALCULS (auto)'!$I$2:$I$9</c:f>
              <c:numCache>
                <c:formatCode>General</c:formatCode>
                <c:ptCount val="8"/>
                <c:pt idx="0">
                  <c:v>2</c:v>
                </c:pt>
                <c:pt idx="1">
                  <c:v>6</c:v>
                </c:pt>
                <c:pt idx="2">
                  <c:v>2</c:v>
                </c:pt>
                <c:pt idx="3">
                  <c:v>1</c:v>
                </c:pt>
                <c:pt idx="4">
                  <c:v>1</c:v>
                </c:pt>
                <c:pt idx="5">
                  <c:v>1</c:v>
                </c:pt>
                <c:pt idx="6">
                  <c:v>1</c:v>
                </c:pt>
                <c:pt idx="7">
                  <c:v>0</c:v>
                </c:pt>
              </c:numCache>
            </c:numRef>
          </c:val>
        </c:ser>
        <c:ser>
          <c:idx val="1"/>
          <c:order val="1"/>
          <c:tx>
            <c:strRef>
              <c:f>'🧮 CALCULS (auto)'!J1</c:f>
              <c:strCache>
                <c:ptCount val="1"/>
                <c:pt idx="0">
                  <c:v>À RENOUVELER</c:v>
                </c:pt>
              </c:strCache>
            </c:strRef>
          </c:tx>
          <c:spPr>
            <a:solidFill>
              <a:srgbClr val="f5921e"/>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 CALCULS (auto)'!$H$2:$H$9</c:f>
              <c:strCache>
                <c:ptCount val="8"/>
                <c:pt idx="0">
                  <c:v>Atelier recharge extincteurs</c:v>
                </c:pt>
                <c:pt idx="1">
                  <c:v>Atelier maintenance</c:v>
                </c:pt>
                <c:pt idx="2">
                  <c:v>Magasin – Stock chimique</c:v>
                </c:pt>
                <c:pt idx="3">
                  <c:v>Local batteries &amp; onduleurs</c:v>
                </c:pt>
                <c:pt idx="4">
                  <c:v>Laboratoire – Banc d'essais</c:v>
                </c:pt>
                <c:pt idx="5">
                  <c:v>Local groupe électrogène</c:v>
                </c:pt>
                <c:pt idx="6">
                  <c:v>Véhicules d'intervention</c:v>
                </c:pt>
                <c:pt idx="7">
                  <c:v>Zone déchets</c:v>
                </c:pt>
              </c:strCache>
            </c:strRef>
          </c:cat>
          <c:val>
            <c:numRef>
              <c:f>'🧮 CALCULS (auto)'!$J$2:$J$9</c:f>
              <c:numCache>
                <c:formatCode>General</c:formatCode>
                <c:ptCount val="8"/>
                <c:pt idx="0">
                  <c:v>1</c:v>
                </c:pt>
                <c:pt idx="1">
                  <c:v>1</c:v>
                </c:pt>
                <c:pt idx="2">
                  <c:v>0</c:v>
                </c:pt>
                <c:pt idx="3">
                  <c:v>0</c:v>
                </c:pt>
                <c:pt idx="4">
                  <c:v>0</c:v>
                </c:pt>
                <c:pt idx="5">
                  <c:v>0</c:v>
                </c:pt>
                <c:pt idx="6">
                  <c:v>0</c:v>
                </c:pt>
                <c:pt idx="7">
                  <c:v>0</c:v>
                </c:pt>
              </c:numCache>
            </c:numRef>
          </c:val>
        </c:ser>
        <c:ser>
          <c:idx val="2"/>
          <c:order val="2"/>
          <c:tx>
            <c:strRef>
              <c:f>'🧮 CALCULS (auto)'!K1</c:f>
              <c:strCache>
                <c:ptCount val="1"/>
                <c:pt idx="0">
                  <c:v>EXPIRÉE</c:v>
                </c:pt>
              </c:strCache>
            </c:strRef>
          </c:tx>
          <c:spPr>
            <a:solidFill>
              <a:srgbClr val="e85d25"/>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 CALCULS (auto)'!$H$2:$H$9</c:f>
              <c:strCache>
                <c:ptCount val="8"/>
                <c:pt idx="0">
                  <c:v>Atelier recharge extincteurs</c:v>
                </c:pt>
                <c:pt idx="1">
                  <c:v>Atelier maintenance</c:v>
                </c:pt>
                <c:pt idx="2">
                  <c:v>Magasin – Stock chimique</c:v>
                </c:pt>
                <c:pt idx="3">
                  <c:v>Local batteries &amp; onduleurs</c:v>
                </c:pt>
                <c:pt idx="4">
                  <c:v>Laboratoire – Banc d'essais</c:v>
                </c:pt>
                <c:pt idx="5">
                  <c:v>Local groupe électrogène</c:v>
                </c:pt>
                <c:pt idx="6">
                  <c:v>Véhicules d'intervention</c:v>
                </c:pt>
                <c:pt idx="7">
                  <c:v>Zone déchets</c:v>
                </c:pt>
              </c:strCache>
            </c:strRef>
          </c:cat>
          <c:val>
            <c:numRef>
              <c:f>'🧮 CALCULS (auto)'!$K$2:$K$9</c:f>
              <c:numCache>
                <c:formatCode>General</c:formatCode>
                <c:ptCount val="8"/>
                <c:pt idx="0">
                  <c:v>0</c:v>
                </c:pt>
                <c:pt idx="1">
                  <c:v>1</c:v>
                </c:pt>
                <c:pt idx="2">
                  <c:v>1</c:v>
                </c:pt>
                <c:pt idx="3">
                  <c:v>0</c:v>
                </c:pt>
                <c:pt idx="4">
                  <c:v>0</c:v>
                </c:pt>
                <c:pt idx="5">
                  <c:v>0</c:v>
                </c:pt>
                <c:pt idx="6">
                  <c:v>0</c:v>
                </c:pt>
                <c:pt idx="7">
                  <c:v>0</c:v>
                </c:pt>
              </c:numCache>
            </c:numRef>
          </c:val>
        </c:ser>
        <c:ser>
          <c:idx val="3"/>
          <c:order val="3"/>
          <c:tx>
            <c:strRef>
              <c:f>'🧮 CALCULS (auto)'!L1</c:f>
              <c:strCache>
                <c:ptCount val="1"/>
                <c:pt idx="0">
                  <c:v>FDS ABSENTE</c:v>
                </c:pt>
              </c:strCache>
            </c:strRef>
          </c:tx>
          <c:spPr>
            <a:solidFill>
              <a:srgbClr val="8f1d1d"/>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 CALCULS (auto)'!$H$2:$H$9</c:f>
              <c:strCache>
                <c:ptCount val="8"/>
                <c:pt idx="0">
                  <c:v>Atelier recharge extincteurs</c:v>
                </c:pt>
                <c:pt idx="1">
                  <c:v>Atelier maintenance</c:v>
                </c:pt>
                <c:pt idx="2">
                  <c:v>Magasin – Stock chimique</c:v>
                </c:pt>
                <c:pt idx="3">
                  <c:v>Local batteries &amp; onduleurs</c:v>
                </c:pt>
                <c:pt idx="4">
                  <c:v>Laboratoire – Banc d'essais</c:v>
                </c:pt>
                <c:pt idx="5">
                  <c:v>Local groupe électrogène</c:v>
                </c:pt>
                <c:pt idx="6">
                  <c:v>Véhicules d'intervention</c:v>
                </c:pt>
                <c:pt idx="7">
                  <c:v>Zone déchets</c:v>
                </c:pt>
              </c:strCache>
            </c:strRef>
          </c:cat>
          <c:val>
            <c:numRef>
              <c:f>'🧮 CALCULS (auto)'!$L$2:$L$9</c:f>
              <c:numCache>
                <c:formatCode>General</c:formatCode>
                <c:ptCount val="8"/>
                <c:pt idx="0">
                  <c:v>1</c:v>
                </c:pt>
                <c:pt idx="1">
                  <c:v>1</c:v>
                </c:pt>
                <c:pt idx="2">
                  <c:v>0</c:v>
                </c:pt>
                <c:pt idx="3">
                  <c:v>0</c:v>
                </c:pt>
                <c:pt idx="4">
                  <c:v>0</c:v>
                </c:pt>
                <c:pt idx="5">
                  <c:v>0</c:v>
                </c:pt>
                <c:pt idx="6">
                  <c:v>0</c:v>
                </c:pt>
                <c:pt idx="7">
                  <c:v>0</c:v>
                </c:pt>
              </c:numCache>
            </c:numRef>
          </c:val>
        </c:ser>
        <c:gapWidth val="150"/>
        <c:overlap val="100"/>
        <c:axId val="90906788"/>
        <c:axId val="69297923"/>
      </c:barChart>
      <c:catAx>
        <c:axId val="90906788"/>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69297923"/>
        <c:crosses val="autoZero"/>
        <c:auto val="1"/>
        <c:lblAlgn val="ctr"/>
        <c:lblOffset val="100"/>
        <c:noMultiLvlLbl val="0"/>
      </c:catAx>
      <c:valAx>
        <c:axId val="69297923"/>
        <c:scaling>
          <c:orientation val="minMax"/>
        </c:scaling>
        <c:delete val="0"/>
        <c:axPos val="l"/>
        <c:majorGridlines>
          <c:spPr>
            <a:ln w="9360">
              <a:solidFill>
                <a:srgbClr val="878787"/>
              </a:solidFill>
              <a:round/>
            </a:ln>
          </c:spPr>
        </c:majorGridlines>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90906788"/>
        <c:crosses val="autoZero"/>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0"/>
    <c:dispBlanksAs val="gap"/>
  </c:chart>
  <c:spPr>
    <a:solidFill>
      <a:srgbClr val="ffffff"/>
    </a:solidFill>
    <a:ln w="9360">
      <a:solidFill>
        <a:srgbClr val="d9d9d9"/>
      </a:solidFill>
      <a:round/>
    </a:ln>
  </c:spPr>
</c:chartSpace>
</file>

<file path=xl/charts/chart4.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Top 10 — quantités en stock (unités mixtes, indicatif)</a:t>
            </a:r>
          </a:p>
        </c:rich>
      </c:tx>
      <c:overlay val="0"/>
      <c:spPr>
        <a:noFill/>
        <a:ln w="0">
          <a:noFill/>
        </a:ln>
      </c:spPr>
    </c:title>
    <c:autoTitleDeleted val="0"/>
    <c:plotArea>
      <c:barChart>
        <c:barDir val="bar"/>
        <c:grouping val="clustered"/>
        <c:varyColors val="0"/>
        <c:ser>
          <c:idx val="0"/>
          <c:order val="0"/>
          <c:spPr>
            <a:solidFill>
              <a:srgbClr val="1b4f91"/>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 CALCULS (auto)'!$R$2:$R$11</c:f>
              <c:strCache>
                <c:ptCount val="10"/>
                <c:pt idx="0">
                  <c:v>Gazole (groupe électrogène) (L)</c:v>
                </c:pt>
                <c:pt idx="1">
                  <c:v>Poudre extinctrice ABC (kg)</c:v>
                </c:pt>
                <c:pt idx="2">
                  <c:v>Émulseur AFFF 3 % (L)</c:v>
                </c:pt>
                <c:pt idx="3">
                  <c:v>Aérosol test détecteurs de fumée (unité(s))</c:v>
                </c:pt>
                <c:pt idx="4">
                  <c:v>Azote liquide (L)</c:v>
                </c:pt>
                <c:pt idx="5">
                  <c:v>Eau de Javel 9,6 % (L)</c:v>
                </c:pt>
                <c:pt idx="6">
                  <c:v>Huile de coupe soluble (L)</c:v>
                </c:pt>
                <c:pt idx="7">
                  <c:v>Dégraissant solvanté DS-40 (L)</c:v>
                </c:pt>
                <c:pt idx="8">
                  <c:v>Soude caustique 30 % (kg)</c:v>
                </c:pt>
                <c:pt idx="9">
                  <c:v>Mastic silicone neutre (cartouche(s))</c:v>
                </c:pt>
              </c:strCache>
            </c:strRef>
          </c:cat>
          <c:val>
            <c:numRef>
              <c:f>'🧮 CALCULS (auto)'!$S$2:$S$11</c:f>
              <c:numCache>
                <c:formatCode>#,##0</c:formatCode>
                <c:ptCount val="10"/>
                <c:pt idx="0">
                  <c:v>1000</c:v>
                </c:pt>
                <c:pt idx="1">
                  <c:v>400</c:v>
                </c:pt>
                <c:pt idx="2">
                  <c:v>200</c:v>
                </c:pt>
                <c:pt idx="3">
                  <c:v>120</c:v>
                </c:pt>
                <c:pt idx="4">
                  <c:v>120</c:v>
                </c:pt>
                <c:pt idx="5">
                  <c:v>100</c:v>
                </c:pt>
                <c:pt idx="6">
                  <c:v>80</c:v>
                </c:pt>
                <c:pt idx="7">
                  <c:v>60</c:v>
                </c:pt>
                <c:pt idx="8">
                  <c:v>60</c:v>
                </c:pt>
                <c:pt idx="9">
                  <c:v>50</c:v>
                </c:pt>
              </c:numCache>
            </c:numRef>
          </c:val>
        </c:ser>
        <c:gapWidth val="40"/>
        <c:overlap val="0"/>
        <c:axId val="80887334"/>
        <c:axId val="11888314"/>
      </c:barChart>
      <c:catAx>
        <c:axId val="80887334"/>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1888314"/>
        <c:crosses val="autoZero"/>
        <c:auto val="1"/>
        <c:lblAlgn val="ctr"/>
        <c:lblOffset val="100"/>
        <c:noMultiLvlLbl val="0"/>
      </c:catAx>
      <c:valAx>
        <c:axId val="11888314"/>
        <c:scaling>
          <c:orientation val="minMax"/>
        </c:scaling>
        <c:delete val="0"/>
        <c:axPos val="l"/>
        <c:majorGridlines>
          <c:spPr>
            <a:ln w="9360">
              <a:solidFill>
                <a:srgbClr val="878787"/>
              </a:solidFill>
              <a:round/>
            </a:ln>
          </c:spPr>
        </c:majorGridlines>
        <c:numFmt formatCode="#,##0"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0887334"/>
        <c:crosses val="autoZero"/>
        <c:crossBetween val="between"/>
      </c:valAx>
      <c:spPr>
        <a:noFill/>
        <a:ln w="0">
          <a:noFill/>
        </a:ln>
      </c:spPr>
    </c:plotArea>
    <c:plotVisOnly val="0"/>
    <c:dispBlanksAs val="gap"/>
  </c:chart>
  <c:spPr>
    <a:solidFill>
      <a:srgbClr val="ffffff"/>
    </a:solidFill>
    <a:ln w="9360">
      <a:solidFill>
        <a:srgbClr val="d9d9d9"/>
      </a:solidFill>
      <a:round/>
    </a:ln>
  </c:spPr>
</c:chartSpace>
</file>

<file path=xl/charts/chart5.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Évolution du taux de conformité FDS (mensuel)</a:t>
            </a:r>
          </a:p>
        </c:rich>
      </c:tx>
      <c:overlay val="0"/>
      <c:spPr>
        <a:noFill/>
        <a:ln w="0">
          <a:noFill/>
        </a:ln>
      </c:spPr>
    </c:title>
    <c:autoTitleDeleted val="0"/>
    <c:plotArea>
      <c:lineChart>
        <c:grouping val="standard"/>
        <c:varyColors val="0"/>
        <c:ser>
          <c:idx val="0"/>
          <c:order val="0"/>
          <c:spPr>
            <a:solidFill>
              <a:srgbClr val="f5921e"/>
            </a:solidFill>
            <a:ln w="28080">
              <a:solidFill>
                <a:srgbClr val="f5921e"/>
              </a:solidFill>
              <a:round/>
            </a:ln>
          </c:spPr>
          <c:marker>
            <c:symbol val="circle"/>
            <c:size val="6"/>
            <c:spPr>
              <a:solidFill>
                <a:srgbClr val="f5921e"/>
              </a:solidFill>
            </c:spPr>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 CALCULS (auto)'!$U$2:$U$8</c:f>
              <c:strCache>
                <c:ptCount val="7"/>
                <c:pt idx="0">
                  <c:v>janv. 2026</c:v>
                </c:pt>
                <c:pt idx="1">
                  <c:v>févr. 2026</c:v>
                </c:pt>
                <c:pt idx="2">
                  <c:v>mars 2026</c:v>
                </c:pt>
                <c:pt idx="3">
                  <c:v>avr. 2026</c:v>
                </c:pt>
                <c:pt idx="4">
                  <c:v>mai 2026</c:v>
                </c:pt>
                <c:pt idx="5">
                  <c:v>juin 2026</c:v>
                </c:pt>
                <c:pt idx="6">
                  <c:v>juil. 2026</c:v>
                </c:pt>
              </c:strCache>
            </c:strRef>
          </c:cat>
          <c:val>
            <c:numRef>
              <c:f>'🧮 CALCULS (auto)'!$V$2:$V$8</c:f>
              <c:numCache>
                <c:formatCode>0%</c:formatCode>
                <c:ptCount val="7"/>
                <c:pt idx="0">
                  <c:v>0.52</c:v>
                </c:pt>
                <c:pt idx="1">
                  <c:v>0.55</c:v>
                </c:pt>
                <c:pt idx="2">
                  <c:v>0.58</c:v>
                </c:pt>
                <c:pt idx="3">
                  <c:v>0.6</c:v>
                </c:pt>
                <c:pt idx="4">
                  <c:v>0.64</c:v>
                </c:pt>
                <c:pt idx="5">
                  <c:v>0.68</c:v>
                </c:pt>
                <c:pt idx="6">
                  <c:v>0.7</c:v>
                </c:pt>
              </c:numCache>
            </c:numRef>
          </c:val>
          <c:smooth val="0"/>
        </c:ser>
        <c:hiLowLines>
          <c:spPr>
            <a:ln w="0">
              <a:noFill/>
            </a:ln>
          </c:spPr>
        </c:hiLowLines>
        <c:marker val="1"/>
        <c:axId val="35571113"/>
        <c:axId val="5464171"/>
      </c:lineChart>
      <c:catAx>
        <c:axId val="35571113"/>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464171"/>
        <c:crosses val="autoZero"/>
        <c:auto val="1"/>
        <c:lblAlgn val="ctr"/>
        <c:lblOffset val="100"/>
        <c:noMultiLvlLbl val="0"/>
      </c:catAx>
      <c:valAx>
        <c:axId val="5464171"/>
        <c:scaling>
          <c:orientation val="minMax"/>
          <c:max val="1"/>
          <c:min val="0"/>
        </c:scaling>
        <c:delete val="0"/>
        <c:axPos val="l"/>
        <c:majorGridlines>
          <c:spPr>
            <a:ln w="9360">
              <a:solidFill>
                <a:srgbClr val="878787"/>
              </a:solidFill>
              <a:round/>
            </a:ln>
          </c:spPr>
        </c:majorGridlines>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35571113"/>
        <c:crosses val="autoZero"/>
        <c:crossBetween val="between"/>
      </c:valAx>
      <c:spPr>
        <a:noFill/>
        <a:ln w="0">
          <a:noFill/>
        </a:ln>
      </c:spPr>
    </c:plotArea>
    <c:plotVisOnly val="0"/>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12</xdr:row>
      <xdr:rowOff>0</xdr:rowOff>
    </xdr:from>
    <xdr:to>
      <xdr:col>8</xdr:col>
      <xdr:colOff>152280</xdr:colOff>
      <xdr:row>28</xdr:row>
      <xdr:rowOff>47880</xdr:rowOff>
    </xdr:to>
    <xdr:graphicFrame>
      <xdr:nvGraphicFramePr>
        <xdr:cNvPr id="0" name="Chart 1"/>
        <xdr:cNvGraphicFramePr/>
      </xdr:nvGraphicFramePr>
      <xdr:xfrm>
        <a:off x="141120" y="2400480"/>
        <a:ext cx="5579640" cy="3095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0</xdr:colOff>
      <xdr:row>12</xdr:row>
      <xdr:rowOff>0</xdr:rowOff>
    </xdr:from>
    <xdr:to>
      <xdr:col>15</xdr:col>
      <xdr:colOff>318240</xdr:colOff>
      <xdr:row>28</xdr:row>
      <xdr:rowOff>47880</xdr:rowOff>
    </xdr:to>
    <xdr:graphicFrame>
      <xdr:nvGraphicFramePr>
        <xdr:cNvPr id="1" name="Chart 2"/>
        <xdr:cNvGraphicFramePr/>
      </xdr:nvGraphicFramePr>
      <xdr:xfrm>
        <a:off x="7894440" y="2400480"/>
        <a:ext cx="3419640" cy="30956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30</xdr:row>
      <xdr:rowOff>0</xdr:rowOff>
    </xdr:from>
    <xdr:to>
      <xdr:col>8</xdr:col>
      <xdr:colOff>152280</xdr:colOff>
      <xdr:row>47</xdr:row>
      <xdr:rowOff>73440</xdr:rowOff>
    </xdr:to>
    <xdr:graphicFrame>
      <xdr:nvGraphicFramePr>
        <xdr:cNvPr id="2" name="Chart 3"/>
        <xdr:cNvGraphicFramePr/>
      </xdr:nvGraphicFramePr>
      <xdr:xfrm>
        <a:off x="141120" y="5829480"/>
        <a:ext cx="5579640" cy="331164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11</xdr:col>
      <xdr:colOff>0</xdr:colOff>
      <xdr:row>30</xdr:row>
      <xdr:rowOff>0</xdr:rowOff>
    </xdr:from>
    <xdr:to>
      <xdr:col>15</xdr:col>
      <xdr:colOff>318240</xdr:colOff>
      <xdr:row>47</xdr:row>
      <xdr:rowOff>73440</xdr:rowOff>
    </xdr:to>
    <xdr:graphicFrame>
      <xdr:nvGraphicFramePr>
        <xdr:cNvPr id="3" name="Chart 4"/>
        <xdr:cNvGraphicFramePr/>
      </xdr:nvGraphicFramePr>
      <xdr:xfrm>
        <a:off x="7894440" y="5829480"/>
        <a:ext cx="3419640" cy="331164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49</xdr:row>
      <xdr:rowOff>0</xdr:rowOff>
    </xdr:from>
    <xdr:to>
      <xdr:col>8</xdr:col>
      <xdr:colOff>152280</xdr:colOff>
      <xdr:row>65</xdr:row>
      <xdr:rowOff>47880</xdr:rowOff>
    </xdr:to>
    <xdr:graphicFrame>
      <xdr:nvGraphicFramePr>
        <xdr:cNvPr id="4" name="Chart 5"/>
        <xdr:cNvGraphicFramePr/>
      </xdr:nvGraphicFramePr>
      <xdr:xfrm>
        <a:off x="141120" y="9448920"/>
        <a:ext cx="5579640" cy="309564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ables/table1.xml><?xml version="1.0" encoding="utf-8"?>
<table xmlns="http://schemas.openxmlformats.org/spreadsheetml/2006/main" id="1" name="T_Inventaire" displayName="T_Inventaire" ref="A2:BK322" headerRowCount="1" totalsRowCount="0" totalsRowShown="0">
  <autoFilter ref="A2:BK322"/>
  <tableColumns count="63">
    <tableColumn id="1" name="N° Fiche"/>
    <tableColumn id="2" name="Nom commercial"/>
    <tableColumn id="3" name="Nom chimique"/>
    <tableColumn id="4" name="N° CAS"/>
    <tableColumn id="5" name="N° CE"/>
    <tableColumn id="6" name="N° UN"/>
    <tableColumn id="7" name="Fournisseur"/>
    <tableColumn id="8" name="Contact fournisseur"/>
    <tableColumn id="9" name="Site"/>
    <tableColumn id="10" name="Bâtiment"/>
    <tableColumn id="11" name="Atelier / Zone"/>
    <tableColumn id="12" name="Lieu de stockage"/>
    <tableColumn id="13" name="Responsable"/>
    <tableColumn id="14" name="Conditionnement"/>
    <tableColumn id="15" name="Quantité en stock"/>
    <tableColumn id="16" name="Unité"/>
    <tableColumn id="17" name="Conso. annuelle estimée"/>
    <tableColumn id="18" name="Seuil d'alerte"/>
    <tableColumn id="19" name="Alerte stock (auto)"/>
    <tableColumn id="20" name="Picto SGH 1"/>
    <tableColumn id="21" name="Picto SGH 2"/>
    <tableColumn id="22" name="Picto SGH 3"/>
    <tableColumn id="23" name="Picto SGH 4"/>
    <tableColumn id="24" name="Mentions de danger H"/>
    <tableColumn id="25" name="Danger principal (auto)"/>
    <tableColumn id="26" name="Conseils de prudence P"/>
    <tableColumn id="27" name="Mention d'avertissement"/>
    <tableColumn id="28" name="CMR (O/N)"/>
    <tableColumn id="29" name="Catégorie CMR"/>
    <tableColumn id="30" name="Autorisation REACH (O/N)"/>
    <tableColumn id="31" name="ADR / Cl. transport"/>
    <tableColumn id="32" name="VLEP (8 h)"/>
    <tableColumn id="33" name="FDS disponible (O/N)"/>
    <tableColumn id="34" name="Date version FDS"/>
    <tableColumn id="35" name="Langue FDS"/>
    <tableColumn id="36" name="Prochaine vérification (auto)"/>
    <tableColumn id="37" name="Statut FDS (auto)"/>
    <tableColumn id="38" name="Lien FDS"/>
    <tableColumn id="39" name="Date demande FDS"/>
    <tableColumn id="40" name="Date réception FDS"/>
    <tableColumn id="41" name="Utilisation / Procédé"/>
    <tableColumn id="42" name="Voie d'exposition"/>
    <tableColumn id="43" name="Fréquence d'usage"/>
    <tableColumn id="44" name="EPI requis"/>
    <tableColumn id="45" name="Protection collective"/>
    <tableColumn id="46" name="Incompatibilités de stockage"/>
    <tableColumn id="47" name="Consignes déchets (code)"/>
    <tableColumn id="48" name="Mesures d'urgence"/>
    <tableColumn id="49" name="Gravité (1-5)"/>
    <tableColumn id="50" name="Probabilité (1-5)"/>
    <tableColumn id="51" name="Risque brut (auto)"/>
    <tableColumn id="52" name="Efficacité mesures (1-5)"/>
    <tableColumn id="53" name="Risque résiduel (auto)"/>
    <tableColumn id="54" name="Priorité (auto)"/>
    <tableColumn id="55" name="Action corrective"/>
    <tableColumn id="56" name="Pilote"/>
    <tableColumn id="57" name="Échéance"/>
    <tableColumn id="58" name="Avancement (%)"/>
    <tableColumn id="59" name="Statut action"/>
    <tableColumn id="60" name="Date de création"/>
    <tableColumn id="61" name="Dernière mise à jour"/>
    <tableColumn id="62" name="Mis à jour par"/>
    <tableColumn id="63" name="Commentaires"/>
  </tableColumns>
</table>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K10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5"/>
    <col collapsed="false" customWidth="true" hidden="false" outlineLevel="0" max="11" min="3" style="0" width="13.5"/>
    <col collapsed="false" customWidth="true" hidden="false" outlineLevel="0" max="12" min="12" style="0" width="2"/>
  </cols>
  <sheetData>
    <row r="1" customFormat="false" ht="24" hidden="false" customHeight="true" outlineLevel="0" collapsed="false">
      <c r="B1" s="1" t="s">
        <v>0</v>
      </c>
      <c r="C1" s="2" t="s">
        <v>1</v>
      </c>
      <c r="D1" s="3" t="s">
        <v>2</v>
      </c>
      <c r="E1" s="3"/>
      <c r="F1" s="3"/>
      <c r="G1" s="3"/>
      <c r="H1" s="3"/>
      <c r="I1" s="3"/>
      <c r="J1" s="3"/>
      <c r="K1" s="3"/>
    </row>
    <row r="2" customFormat="false" ht="21.75" hidden="false" customHeight="true" outlineLevel="0" collapsed="false">
      <c r="B2" s="4" t="s">
        <v>3</v>
      </c>
      <c r="C2" s="4"/>
      <c r="D2" s="4"/>
      <c r="E2" s="4"/>
      <c r="F2" s="4"/>
      <c r="G2" s="4"/>
      <c r="H2" s="4"/>
      <c r="I2" s="4"/>
      <c r="J2" s="4"/>
      <c r="K2" s="4"/>
    </row>
    <row r="3" customFormat="false" ht="15" hidden="false" customHeight="true" outlineLevel="0" collapsed="false">
      <c r="B3" s="5" t="s">
        <v>4</v>
      </c>
      <c r="C3" s="5"/>
      <c r="D3" s="5"/>
      <c r="E3" s="5"/>
      <c r="F3" s="5"/>
      <c r="G3" s="5"/>
      <c r="H3" s="5"/>
      <c r="I3" s="5"/>
      <c r="J3" s="5"/>
      <c r="K3" s="5"/>
    </row>
    <row r="4" customFormat="false" ht="4.5" hidden="false" customHeight="true" outlineLevel="0" collapsed="false"/>
    <row r="5" customFormat="false" ht="19.5" hidden="false" customHeight="true" outlineLevel="0" collapsed="false">
      <c r="B5" s="6" t="s">
        <v>5</v>
      </c>
      <c r="C5" s="6"/>
      <c r="D5" s="6"/>
      <c r="E5" s="6"/>
      <c r="F5" s="6"/>
      <c r="G5" s="6"/>
      <c r="H5" s="6"/>
      <c r="I5" s="6"/>
      <c r="J5" s="6"/>
      <c r="K5" s="6"/>
    </row>
    <row r="6" customFormat="false" ht="3" hidden="false" customHeight="true" outlineLevel="0" collapsed="false"/>
    <row r="7" customFormat="false" ht="55.5" hidden="false" customHeight="true" outlineLevel="0" collapsed="false">
      <c r="B7" s="7" t="s">
        <v>6</v>
      </c>
      <c r="C7" s="7"/>
      <c r="D7" s="7"/>
      <c r="E7" s="7"/>
      <c r="F7" s="7"/>
      <c r="G7" s="7"/>
      <c r="H7" s="7"/>
      <c r="I7" s="7"/>
      <c r="J7" s="7"/>
      <c r="K7" s="7"/>
    </row>
    <row r="8" customFormat="false" ht="55.5" hidden="false" customHeight="true" outlineLevel="0" collapsed="false">
      <c r="B8" s="7" t="s">
        <v>7</v>
      </c>
      <c r="C8" s="7"/>
      <c r="D8" s="7"/>
      <c r="E8" s="7"/>
      <c r="F8" s="7"/>
      <c r="G8" s="7"/>
      <c r="H8" s="7"/>
      <c r="I8" s="7"/>
      <c r="J8" s="7"/>
      <c r="K8" s="7"/>
    </row>
    <row r="9" customFormat="false" ht="3" hidden="false" customHeight="true" outlineLevel="0" collapsed="false"/>
    <row r="10" customFormat="false" ht="39.75" hidden="false" customHeight="true" outlineLevel="0" collapsed="false">
      <c r="B10" s="8" t="s">
        <v>8</v>
      </c>
      <c r="C10" s="8"/>
      <c r="D10" s="8"/>
      <c r="E10" s="8"/>
      <c r="F10" s="8"/>
      <c r="G10" s="8"/>
      <c r="H10" s="8"/>
      <c r="I10" s="8"/>
      <c r="J10" s="8"/>
      <c r="K10" s="8"/>
    </row>
    <row r="11" customFormat="false" ht="4.5" hidden="false" customHeight="true" outlineLevel="0" collapsed="false"/>
    <row r="12" customFormat="false" ht="19.5" hidden="false" customHeight="true" outlineLevel="0" collapsed="false">
      <c r="B12" s="6" t="s">
        <v>9</v>
      </c>
      <c r="C12" s="6"/>
      <c r="D12" s="6"/>
      <c r="E12" s="6"/>
      <c r="F12" s="6"/>
      <c r="G12" s="6"/>
      <c r="H12" s="6"/>
      <c r="I12" s="6"/>
      <c r="J12" s="6"/>
      <c r="K12" s="6"/>
    </row>
    <row r="13" customFormat="false" ht="3" hidden="false" customHeight="true" outlineLevel="0" collapsed="false"/>
    <row r="14" customFormat="false" ht="30" hidden="false" customHeight="true" outlineLevel="0" collapsed="false">
      <c r="B14" s="7" t="s">
        <v>10</v>
      </c>
      <c r="C14" s="7"/>
      <c r="D14" s="7"/>
      <c r="E14" s="7"/>
      <c r="F14" s="7"/>
      <c r="G14" s="7"/>
      <c r="H14" s="7"/>
      <c r="I14" s="7"/>
      <c r="J14" s="7"/>
      <c r="K14" s="7"/>
    </row>
    <row r="15" customFormat="false" ht="30" hidden="false" customHeight="true" outlineLevel="0" collapsed="false">
      <c r="B15" s="7" t="s">
        <v>11</v>
      </c>
      <c r="C15" s="7"/>
      <c r="D15" s="7"/>
      <c r="E15" s="7"/>
      <c r="F15" s="7"/>
      <c r="G15" s="7"/>
      <c r="H15" s="7"/>
      <c r="I15" s="7"/>
      <c r="J15" s="7"/>
      <c r="K15" s="7"/>
    </row>
    <row r="16" customFormat="false" ht="30" hidden="false" customHeight="true" outlineLevel="0" collapsed="false">
      <c r="B16" s="7" t="s">
        <v>12</v>
      </c>
      <c r="C16" s="7"/>
      <c r="D16" s="7"/>
      <c r="E16" s="7"/>
      <c r="F16" s="7"/>
      <c r="G16" s="7"/>
      <c r="H16" s="7"/>
      <c r="I16" s="7"/>
      <c r="J16" s="7"/>
      <c r="K16" s="7"/>
    </row>
    <row r="17" customFormat="false" ht="30" hidden="false" customHeight="true" outlineLevel="0" collapsed="false">
      <c r="B17" s="7" t="s">
        <v>13</v>
      </c>
      <c r="C17" s="7"/>
      <c r="D17" s="7"/>
      <c r="E17" s="7"/>
      <c r="F17" s="7"/>
      <c r="G17" s="7"/>
      <c r="H17" s="7"/>
      <c r="I17" s="7"/>
      <c r="J17" s="7"/>
      <c r="K17" s="7"/>
    </row>
    <row r="18" customFormat="false" ht="4.5" hidden="false" customHeight="true" outlineLevel="0" collapsed="false"/>
    <row r="19" customFormat="false" ht="19.5" hidden="false" customHeight="true" outlineLevel="0" collapsed="false">
      <c r="B19" s="6" t="s">
        <v>14</v>
      </c>
      <c r="C19" s="6"/>
      <c r="D19" s="6"/>
      <c r="E19" s="6"/>
      <c r="F19" s="6"/>
      <c r="G19" s="6"/>
      <c r="H19" s="6"/>
      <c r="I19" s="6"/>
      <c r="J19" s="6"/>
      <c r="K19" s="6"/>
    </row>
    <row r="20" customFormat="false" ht="3" hidden="false" customHeight="true" outlineLevel="0" collapsed="false"/>
    <row r="21" customFormat="false" ht="16.5" hidden="false" customHeight="true" outlineLevel="0" collapsed="false">
      <c r="B21" s="7" t="s">
        <v>15</v>
      </c>
      <c r="C21" s="7"/>
      <c r="D21" s="7"/>
      <c r="E21" s="7"/>
      <c r="F21" s="7"/>
      <c r="G21" s="7"/>
      <c r="H21" s="7"/>
      <c r="I21" s="7"/>
      <c r="J21" s="7"/>
      <c r="K21" s="7"/>
    </row>
    <row r="22" customFormat="false" ht="16.5" hidden="false" customHeight="true" outlineLevel="0" collapsed="false">
      <c r="B22" s="7" t="s">
        <v>16</v>
      </c>
      <c r="C22" s="7"/>
      <c r="D22" s="7"/>
      <c r="E22" s="7"/>
      <c r="F22" s="7"/>
      <c r="G22" s="7"/>
      <c r="H22" s="7"/>
      <c r="I22" s="7"/>
      <c r="J22" s="7"/>
      <c r="K22" s="7"/>
    </row>
    <row r="23" customFormat="false" ht="30" hidden="false" customHeight="true" outlineLevel="0" collapsed="false">
      <c r="B23" s="7" t="s">
        <v>17</v>
      </c>
      <c r="C23" s="7"/>
      <c r="D23" s="7"/>
      <c r="E23" s="7"/>
      <c r="F23" s="7"/>
      <c r="G23" s="7"/>
      <c r="H23" s="7"/>
      <c r="I23" s="7"/>
      <c r="J23" s="7"/>
      <c r="K23" s="7"/>
    </row>
    <row r="24" customFormat="false" ht="30" hidden="false" customHeight="true" outlineLevel="0" collapsed="false">
      <c r="B24" s="7" t="s">
        <v>18</v>
      </c>
      <c r="C24" s="7"/>
      <c r="D24" s="7"/>
      <c r="E24" s="7"/>
      <c r="F24" s="7"/>
      <c r="G24" s="7"/>
      <c r="H24" s="7"/>
      <c r="I24" s="7"/>
      <c r="J24" s="7"/>
      <c r="K24" s="7"/>
    </row>
    <row r="25" customFormat="false" ht="30" hidden="false" customHeight="true" outlineLevel="0" collapsed="false">
      <c r="B25" s="7" t="s">
        <v>19</v>
      </c>
      <c r="C25" s="7"/>
      <c r="D25" s="7"/>
      <c r="E25" s="7"/>
      <c r="F25" s="7"/>
      <c r="G25" s="7"/>
      <c r="H25" s="7"/>
      <c r="I25" s="7"/>
      <c r="J25" s="7"/>
      <c r="K25" s="7"/>
    </row>
    <row r="26" customFormat="false" ht="30" hidden="false" customHeight="true" outlineLevel="0" collapsed="false">
      <c r="B26" s="7" t="s">
        <v>20</v>
      </c>
      <c r="C26" s="7"/>
      <c r="D26" s="7"/>
      <c r="E26" s="7"/>
      <c r="F26" s="7"/>
      <c r="G26" s="7"/>
      <c r="H26" s="7"/>
      <c r="I26" s="7"/>
      <c r="J26" s="7"/>
      <c r="K26" s="7"/>
    </row>
    <row r="27" customFormat="false" ht="30" hidden="false" customHeight="true" outlineLevel="0" collapsed="false">
      <c r="B27" s="7" t="s">
        <v>21</v>
      </c>
      <c r="C27" s="7"/>
      <c r="D27" s="7"/>
      <c r="E27" s="7"/>
      <c r="F27" s="7"/>
      <c r="G27" s="7"/>
      <c r="H27" s="7"/>
      <c r="I27" s="7"/>
      <c r="J27" s="7"/>
      <c r="K27" s="7"/>
    </row>
    <row r="28" customFormat="false" ht="4.5" hidden="false" customHeight="true" outlineLevel="0" collapsed="false"/>
    <row r="29" customFormat="false" ht="19.5" hidden="false" customHeight="true" outlineLevel="0" collapsed="false">
      <c r="B29" s="6" t="s">
        <v>22</v>
      </c>
      <c r="C29" s="6"/>
      <c r="D29" s="6"/>
      <c r="E29" s="6"/>
      <c r="F29" s="6"/>
      <c r="G29" s="6"/>
      <c r="H29" s="6"/>
      <c r="I29" s="6"/>
      <c r="J29" s="6"/>
      <c r="K29" s="6"/>
    </row>
    <row r="30" customFormat="false" ht="3" hidden="false" customHeight="true" outlineLevel="0" collapsed="false"/>
    <row r="31" customFormat="false" ht="16.5" hidden="false" customHeight="true" outlineLevel="0" collapsed="false">
      <c r="B31" s="7" t="s">
        <v>23</v>
      </c>
      <c r="C31" s="7"/>
      <c r="D31" s="7"/>
      <c r="E31" s="7"/>
      <c r="F31" s="7"/>
      <c r="G31" s="7"/>
      <c r="H31" s="7"/>
      <c r="I31" s="7"/>
      <c r="J31" s="7"/>
      <c r="K31" s="7"/>
    </row>
    <row r="32" customFormat="false" ht="16.5" hidden="false" customHeight="true" outlineLevel="0" collapsed="false">
      <c r="B32" s="7" t="s">
        <v>24</v>
      </c>
      <c r="C32" s="7"/>
      <c r="D32" s="7"/>
      <c r="E32" s="7"/>
      <c r="F32" s="7"/>
      <c r="G32" s="7"/>
      <c r="H32" s="7"/>
      <c r="I32" s="7"/>
      <c r="J32" s="7"/>
      <c r="K32" s="7"/>
    </row>
    <row r="33" customFormat="false" ht="16.5" hidden="false" customHeight="true" outlineLevel="0" collapsed="false">
      <c r="B33" s="7" t="s">
        <v>25</v>
      </c>
      <c r="C33" s="7"/>
      <c r="D33" s="7"/>
      <c r="E33" s="7"/>
      <c r="F33" s="7"/>
      <c r="G33" s="7"/>
      <c r="H33" s="7"/>
      <c r="I33" s="7"/>
      <c r="J33" s="7"/>
      <c r="K33" s="7"/>
    </row>
    <row r="34" customFormat="false" ht="30" hidden="false" customHeight="true" outlineLevel="0" collapsed="false">
      <c r="B34" s="7" t="s">
        <v>26</v>
      </c>
      <c r="C34" s="7"/>
      <c r="D34" s="7"/>
      <c r="E34" s="7"/>
      <c r="F34" s="7"/>
      <c r="G34" s="7"/>
      <c r="H34" s="7"/>
      <c r="I34" s="7"/>
      <c r="J34" s="7"/>
      <c r="K34" s="7"/>
    </row>
    <row r="35" customFormat="false" ht="4.5" hidden="false" customHeight="true" outlineLevel="0" collapsed="false"/>
    <row r="36" customFormat="false" ht="19.5" hidden="false" customHeight="true" outlineLevel="0" collapsed="false">
      <c r="B36" s="6" t="s">
        <v>27</v>
      </c>
      <c r="C36" s="6"/>
      <c r="D36" s="6"/>
      <c r="E36" s="6"/>
      <c r="F36" s="6"/>
      <c r="G36" s="6"/>
      <c r="H36" s="6"/>
      <c r="I36" s="6"/>
      <c r="J36" s="6"/>
      <c r="K36" s="6"/>
    </row>
    <row r="37" customFormat="false" ht="3" hidden="false" customHeight="true" outlineLevel="0" collapsed="false"/>
    <row r="38" customFormat="false" ht="30" hidden="false" customHeight="true" outlineLevel="0" collapsed="false">
      <c r="B38" s="7" t="s">
        <v>28</v>
      </c>
      <c r="C38" s="7"/>
      <c r="D38" s="7"/>
      <c r="E38" s="7"/>
      <c r="F38" s="7"/>
      <c r="G38" s="7"/>
      <c r="H38" s="7"/>
      <c r="I38" s="7"/>
      <c r="J38" s="7"/>
      <c r="K38" s="7"/>
    </row>
    <row r="39" customFormat="false" ht="55.5" hidden="false" customHeight="true" outlineLevel="0" collapsed="false">
      <c r="B39" s="7" t="s">
        <v>29</v>
      </c>
      <c r="C39" s="7"/>
      <c r="D39" s="7"/>
      <c r="E39" s="7"/>
      <c r="F39" s="7"/>
      <c r="G39" s="7"/>
      <c r="H39" s="7"/>
      <c r="I39" s="7"/>
      <c r="J39" s="7"/>
      <c r="K39" s="7"/>
    </row>
    <row r="40" customFormat="false" ht="16.5" hidden="false" customHeight="true" outlineLevel="0" collapsed="false">
      <c r="B40" s="7" t="s">
        <v>30</v>
      </c>
      <c r="C40" s="7"/>
      <c r="D40" s="7"/>
      <c r="E40" s="7"/>
      <c r="F40" s="7"/>
      <c r="G40" s="7"/>
      <c r="H40" s="7"/>
      <c r="I40" s="7"/>
      <c r="J40" s="7"/>
      <c r="K40" s="7"/>
    </row>
    <row r="41" customFormat="false" ht="4.5" hidden="false" customHeight="true" outlineLevel="0" collapsed="false"/>
    <row r="42" customFormat="false" ht="19.5" hidden="false" customHeight="true" outlineLevel="0" collapsed="false">
      <c r="B42" s="6" t="s">
        <v>31</v>
      </c>
      <c r="C42" s="6"/>
      <c r="D42" s="6"/>
      <c r="E42" s="6"/>
      <c r="F42" s="6"/>
      <c r="G42" s="6"/>
      <c r="H42" s="6"/>
      <c r="I42" s="6"/>
      <c r="J42" s="6"/>
      <c r="K42" s="6"/>
    </row>
    <row r="43" customFormat="false" ht="3" hidden="false" customHeight="true" outlineLevel="0" collapsed="false"/>
    <row r="44" customFormat="false" ht="16.5" hidden="false" customHeight="true" outlineLevel="0" collapsed="false">
      <c r="B44" s="9" t="s">
        <v>32</v>
      </c>
      <c r="C44" s="9"/>
      <c r="D44" s="9"/>
      <c r="E44" s="10" t="s">
        <v>33</v>
      </c>
      <c r="F44" s="10"/>
      <c r="G44" s="10"/>
      <c r="H44" s="10"/>
      <c r="I44" s="10"/>
      <c r="J44" s="10"/>
      <c r="K44" s="10"/>
    </row>
    <row r="45" customFormat="false" ht="16.5" hidden="false" customHeight="true" outlineLevel="0" collapsed="false">
      <c r="B45" s="11" t="s">
        <v>34</v>
      </c>
      <c r="C45" s="11"/>
      <c r="D45" s="11"/>
      <c r="E45" s="10" t="s">
        <v>35</v>
      </c>
      <c r="F45" s="10"/>
      <c r="G45" s="10"/>
      <c r="H45" s="10"/>
      <c r="I45" s="10"/>
      <c r="J45" s="10"/>
      <c r="K45" s="10"/>
    </row>
    <row r="46" customFormat="false" ht="16.5" hidden="false" customHeight="true" outlineLevel="0" collapsed="false">
      <c r="B46" s="12" t="s">
        <v>36</v>
      </c>
      <c r="C46" s="12"/>
      <c r="D46" s="12"/>
      <c r="E46" s="10" t="s">
        <v>37</v>
      </c>
      <c r="F46" s="10"/>
      <c r="G46" s="10"/>
      <c r="H46" s="10"/>
      <c r="I46" s="10"/>
      <c r="J46" s="10"/>
      <c r="K46" s="10"/>
    </row>
    <row r="47" customFormat="false" ht="16.5" hidden="false" customHeight="true" outlineLevel="0" collapsed="false">
      <c r="B47" s="13" t="s">
        <v>38</v>
      </c>
      <c r="C47" s="13"/>
      <c r="D47" s="13"/>
      <c r="E47" s="10" t="s">
        <v>39</v>
      </c>
      <c r="F47" s="10"/>
      <c r="G47" s="10"/>
      <c r="H47" s="10"/>
      <c r="I47" s="10"/>
      <c r="J47" s="10"/>
      <c r="K47" s="10"/>
    </row>
    <row r="48" customFormat="false" ht="3" hidden="false" customHeight="true" outlineLevel="0" collapsed="false"/>
    <row r="49" customFormat="false" ht="16.5" hidden="false" customHeight="true" outlineLevel="0" collapsed="false">
      <c r="B49" s="14" t="s">
        <v>40</v>
      </c>
      <c r="C49" s="14"/>
      <c r="D49" s="14"/>
      <c r="E49" s="10" t="s">
        <v>41</v>
      </c>
      <c r="F49" s="10"/>
      <c r="G49" s="10"/>
      <c r="H49" s="10"/>
      <c r="I49" s="10"/>
      <c r="J49" s="10"/>
      <c r="K49" s="10"/>
    </row>
    <row r="50" customFormat="false" ht="16.5" hidden="false" customHeight="true" outlineLevel="0" collapsed="false">
      <c r="B50" s="15" t="s">
        <v>42</v>
      </c>
      <c r="C50" s="15"/>
      <c r="D50" s="15"/>
      <c r="E50" s="10" t="s">
        <v>43</v>
      </c>
      <c r="F50" s="10"/>
      <c r="G50" s="10"/>
      <c r="H50" s="10"/>
      <c r="I50" s="10"/>
      <c r="J50" s="10"/>
      <c r="K50" s="10"/>
    </row>
    <row r="51" customFormat="false" ht="16.5" hidden="false" customHeight="true" outlineLevel="0" collapsed="false">
      <c r="B51" s="16" t="s">
        <v>44</v>
      </c>
      <c r="C51" s="16"/>
      <c r="D51" s="16"/>
      <c r="E51" s="10" t="s">
        <v>45</v>
      </c>
      <c r="F51" s="10"/>
      <c r="G51" s="10"/>
      <c r="H51" s="10"/>
      <c r="I51" s="10"/>
      <c r="J51" s="10"/>
      <c r="K51" s="10"/>
    </row>
    <row r="52" customFormat="false" ht="16.5" hidden="false" customHeight="true" outlineLevel="0" collapsed="false">
      <c r="B52" s="9" t="s">
        <v>46</v>
      </c>
      <c r="C52" s="9"/>
      <c r="D52" s="9"/>
      <c r="E52" s="10" t="s">
        <v>47</v>
      </c>
      <c r="F52" s="10"/>
      <c r="G52" s="10"/>
      <c r="H52" s="10"/>
      <c r="I52" s="10"/>
      <c r="J52" s="10"/>
      <c r="K52" s="10"/>
    </row>
    <row r="53" customFormat="false" ht="3" hidden="false" customHeight="true" outlineLevel="0" collapsed="false"/>
    <row r="54" customFormat="false" ht="30" hidden="false" customHeight="true" outlineLevel="0" collapsed="false">
      <c r="B54" s="7" t="s">
        <v>48</v>
      </c>
      <c r="C54" s="7"/>
      <c r="D54" s="7"/>
      <c r="E54" s="7"/>
      <c r="F54" s="7"/>
      <c r="G54" s="7"/>
      <c r="H54" s="7"/>
      <c r="I54" s="7"/>
      <c r="J54" s="7"/>
      <c r="K54" s="7"/>
    </row>
    <row r="55" customFormat="false" ht="30" hidden="false" customHeight="true" outlineLevel="0" collapsed="false">
      <c r="B55" s="7" t="s">
        <v>49</v>
      </c>
      <c r="C55" s="7"/>
      <c r="D55" s="7"/>
      <c r="E55" s="7"/>
      <c r="F55" s="7"/>
      <c r="G55" s="7"/>
      <c r="H55" s="7"/>
      <c r="I55" s="7"/>
      <c r="J55" s="7"/>
      <c r="K55" s="7"/>
    </row>
    <row r="56" customFormat="false" ht="4.5" hidden="false" customHeight="true" outlineLevel="0" collapsed="false"/>
    <row r="57" customFormat="false" ht="19.5" hidden="false" customHeight="true" outlineLevel="0" collapsed="false">
      <c r="B57" s="6" t="s">
        <v>50</v>
      </c>
      <c r="C57" s="6"/>
      <c r="D57" s="6"/>
      <c r="E57" s="6"/>
      <c r="F57" s="6"/>
      <c r="G57" s="6"/>
      <c r="H57" s="6"/>
      <c r="I57" s="6"/>
      <c r="J57" s="6"/>
      <c r="K57" s="6"/>
    </row>
    <row r="58" customFormat="false" ht="3" hidden="false" customHeight="true" outlineLevel="0" collapsed="false"/>
    <row r="59" customFormat="false" ht="16.5" hidden="false" customHeight="true" outlineLevel="0" collapsed="false">
      <c r="B59" s="7" t="s">
        <v>51</v>
      </c>
      <c r="C59" s="7"/>
      <c r="D59" s="7"/>
      <c r="E59" s="7"/>
      <c r="F59" s="7"/>
      <c r="G59" s="7"/>
      <c r="H59" s="7"/>
      <c r="I59" s="7"/>
      <c r="J59" s="7"/>
      <c r="K59" s="7"/>
    </row>
    <row r="60" customFormat="false" ht="16.5" hidden="false" customHeight="true" outlineLevel="0" collapsed="false">
      <c r="B60" s="7" t="s">
        <v>52</v>
      </c>
      <c r="C60" s="7"/>
      <c r="D60" s="7"/>
      <c r="E60" s="7"/>
      <c r="F60" s="7"/>
      <c r="G60" s="7"/>
      <c r="H60" s="7"/>
      <c r="I60" s="7"/>
      <c r="J60" s="7"/>
      <c r="K60" s="7"/>
    </row>
    <row r="61" customFormat="false" ht="16.5" hidden="false" customHeight="true" outlineLevel="0" collapsed="false">
      <c r="B61" s="7" t="s">
        <v>53</v>
      </c>
      <c r="C61" s="7"/>
      <c r="D61" s="7"/>
      <c r="E61" s="7"/>
      <c r="F61" s="7"/>
      <c r="G61" s="7"/>
      <c r="H61" s="7"/>
      <c r="I61" s="7"/>
      <c r="J61" s="7"/>
      <c r="K61" s="7"/>
    </row>
    <row r="62" customFormat="false" ht="16.5" hidden="false" customHeight="true" outlineLevel="0" collapsed="false">
      <c r="B62" s="7" t="s">
        <v>54</v>
      </c>
      <c r="C62" s="7"/>
      <c r="D62" s="7"/>
      <c r="E62" s="7"/>
      <c r="F62" s="7"/>
      <c r="G62" s="7"/>
      <c r="H62" s="7"/>
      <c r="I62" s="7"/>
      <c r="J62" s="7"/>
      <c r="K62" s="7"/>
    </row>
    <row r="63" customFormat="false" ht="16.5" hidden="false" customHeight="true" outlineLevel="0" collapsed="false">
      <c r="B63" s="7" t="s">
        <v>55</v>
      </c>
      <c r="C63" s="7"/>
      <c r="D63" s="7"/>
      <c r="E63" s="7"/>
      <c r="F63" s="7"/>
      <c r="G63" s="7"/>
      <c r="H63" s="7"/>
      <c r="I63" s="7"/>
      <c r="J63" s="7"/>
      <c r="K63" s="7"/>
    </row>
    <row r="64" customFormat="false" ht="16.5" hidden="false" customHeight="true" outlineLevel="0" collapsed="false">
      <c r="B64" s="7" t="s">
        <v>56</v>
      </c>
      <c r="C64" s="7"/>
      <c r="D64" s="7"/>
      <c r="E64" s="7"/>
      <c r="F64" s="7"/>
      <c r="G64" s="7"/>
      <c r="H64" s="7"/>
      <c r="I64" s="7"/>
      <c r="J64" s="7"/>
      <c r="K64" s="7"/>
    </row>
    <row r="65" customFormat="false" ht="16.5" hidden="false" customHeight="true" outlineLevel="0" collapsed="false">
      <c r="B65" s="7" t="s">
        <v>57</v>
      </c>
      <c r="C65" s="7"/>
      <c r="D65" s="7"/>
      <c r="E65" s="7"/>
      <c r="F65" s="7"/>
      <c r="G65" s="7"/>
      <c r="H65" s="7"/>
      <c r="I65" s="7"/>
      <c r="J65" s="7"/>
      <c r="K65" s="7"/>
    </row>
    <row r="66" customFormat="false" ht="30" hidden="false" customHeight="true" outlineLevel="0" collapsed="false">
      <c r="B66" s="7" t="s">
        <v>58</v>
      </c>
      <c r="C66" s="7"/>
      <c r="D66" s="7"/>
      <c r="E66" s="7"/>
      <c r="F66" s="7"/>
      <c r="G66" s="7"/>
      <c r="H66" s="7"/>
      <c r="I66" s="7"/>
      <c r="J66" s="7"/>
      <c r="K66" s="7"/>
    </row>
    <row r="67" customFormat="false" ht="16.5" hidden="false" customHeight="true" outlineLevel="0" collapsed="false">
      <c r="B67" s="7" t="s">
        <v>59</v>
      </c>
      <c r="C67" s="7"/>
      <c r="D67" s="7"/>
      <c r="E67" s="7"/>
      <c r="F67" s="7"/>
      <c r="G67" s="7"/>
      <c r="H67" s="7"/>
      <c r="I67" s="7"/>
      <c r="J67" s="7"/>
      <c r="K67" s="7"/>
    </row>
    <row r="68" customFormat="false" ht="4.5" hidden="false" customHeight="true" outlineLevel="0" collapsed="false"/>
    <row r="69" customFormat="false" ht="19.5" hidden="false" customHeight="true" outlineLevel="0" collapsed="false">
      <c r="B69" s="6" t="s">
        <v>60</v>
      </c>
      <c r="C69" s="6"/>
      <c r="D69" s="6"/>
      <c r="E69" s="6"/>
      <c r="F69" s="6"/>
      <c r="G69" s="6"/>
      <c r="H69" s="6"/>
      <c r="I69" s="6"/>
      <c r="J69" s="6"/>
      <c r="K69" s="6"/>
    </row>
    <row r="70" customFormat="false" ht="3" hidden="false" customHeight="true" outlineLevel="0" collapsed="false"/>
    <row r="71" customFormat="false" ht="30" hidden="false" customHeight="true" outlineLevel="0" collapsed="false">
      <c r="B71" s="7" t="s">
        <v>61</v>
      </c>
      <c r="C71" s="7"/>
      <c r="D71" s="7"/>
      <c r="E71" s="7"/>
      <c r="F71" s="7"/>
      <c r="G71" s="7"/>
      <c r="H71" s="7"/>
      <c r="I71" s="7"/>
      <c r="J71" s="7"/>
      <c r="K71" s="7"/>
    </row>
    <row r="72" customFormat="false" ht="16.5" hidden="false" customHeight="true" outlineLevel="0" collapsed="false">
      <c r="B72" s="7" t="s">
        <v>62</v>
      </c>
      <c r="C72" s="7"/>
      <c r="D72" s="7"/>
      <c r="E72" s="7"/>
      <c r="F72" s="7"/>
      <c r="G72" s="7"/>
      <c r="H72" s="7"/>
      <c r="I72" s="7"/>
      <c r="J72" s="7"/>
      <c r="K72" s="7"/>
    </row>
    <row r="73" customFormat="false" ht="30" hidden="false" customHeight="true" outlineLevel="0" collapsed="false">
      <c r="B73" s="7" t="s">
        <v>63</v>
      </c>
      <c r="C73" s="7"/>
      <c r="D73" s="7"/>
      <c r="E73" s="7"/>
      <c r="F73" s="7"/>
      <c r="G73" s="7"/>
      <c r="H73" s="7"/>
      <c r="I73" s="7"/>
      <c r="J73" s="7"/>
      <c r="K73" s="7"/>
    </row>
    <row r="74" customFormat="false" ht="16.5" hidden="false" customHeight="true" outlineLevel="0" collapsed="false">
      <c r="B74" s="7" t="s">
        <v>64</v>
      </c>
      <c r="C74" s="7"/>
      <c r="D74" s="7"/>
      <c r="E74" s="7"/>
      <c r="F74" s="7"/>
      <c r="G74" s="7"/>
      <c r="H74" s="7"/>
      <c r="I74" s="7"/>
      <c r="J74" s="7"/>
      <c r="K74" s="7"/>
    </row>
    <row r="75" customFormat="false" ht="16.5" hidden="false" customHeight="true" outlineLevel="0" collapsed="false">
      <c r="B75" s="7" t="s">
        <v>65</v>
      </c>
      <c r="C75" s="7"/>
      <c r="D75" s="7"/>
      <c r="E75" s="7"/>
      <c r="F75" s="7"/>
      <c r="G75" s="7"/>
      <c r="H75" s="7"/>
      <c r="I75" s="7"/>
      <c r="J75" s="7"/>
      <c r="K75" s="7"/>
    </row>
    <row r="76" customFormat="false" ht="4.5" hidden="false" customHeight="true" outlineLevel="0" collapsed="false"/>
    <row r="77" customFormat="false" ht="19.5" hidden="false" customHeight="true" outlineLevel="0" collapsed="false">
      <c r="B77" s="6" t="s">
        <v>66</v>
      </c>
      <c r="C77" s="6"/>
      <c r="D77" s="6"/>
      <c r="E77" s="6"/>
      <c r="F77" s="6"/>
      <c r="G77" s="6"/>
      <c r="H77" s="6"/>
      <c r="I77" s="6"/>
      <c r="J77" s="6"/>
      <c r="K77" s="6"/>
    </row>
    <row r="78" customFormat="false" ht="3" hidden="false" customHeight="true" outlineLevel="0" collapsed="false"/>
    <row r="79" customFormat="false" ht="16.5" hidden="false" customHeight="true" outlineLevel="0" collapsed="false">
      <c r="B79" s="7" t="s">
        <v>67</v>
      </c>
      <c r="C79" s="7"/>
      <c r="D79" s="7"/>
      <c r="E79" s="7"/>
      <c r="F79" s="7"/>
      <c r="G79" s="7"/>
      <c r="H79" s="7"/>
      <c r="I79" s="7"/>
      <c r="J79" s="7"/>
      <c r="K79" s="7"/>
    </row>
    <row r="80" customFormat="false" ht="30" hidden="false" customHeight="true" outlineLevel="0" collapsed="false">
      <c r="B80" s="7" t="s">
        <v>68</v>
      </c>
      <c r="C80" s="7"/>
      <c r="D80" s="7"/>
      <c r="E80" s="7"/>
      <c r="F80" s="7"/>
      <c r="G80" s="7"/>
      <c r="H80" s="7"/>
      <c r="I80" s="7"/>
      <c r="J80" s="7"/>
      <c r="K80" s="7"/>
    </row>
    <row r="81" customFormat="false" ht="30" hidden="false" customHeight="true" outlineLevel="0" collapsed="false">
      <c r="B81" s="7" t="s">
        <v>69</v>
      </c>
      <c r="C81" s="7"/>
      <c r="D81" s="7"/>
      <c r="E81" s="7"/>
      <c r="F81" s="7"/>
      <c r="G81" s="7"/>
      <c r="H81" s="7"/>
      <c r="I81" s="7"/>
      <c r="J81" s="7"/>
      <c r="K81" s="7"/>
    </row>
    <row r="82" customFormat="false" ht="4.5" hidden="false" customHeight="true" outlineLevel="0" collapsed="false"/>
    <row r="83" customFormat="false" ht="19.5" hidden="false" customHeight="true" outlineLevel="0" collapsed="false">
      <c r="B83" s="6" t="s">
        <v>70</v>
      </c>
      <c r="C83" s="6"/>
      <c r="D83" s="6"/>
      <c r="E83" s="6"/>
      <c r="F83" s="6"/>
      <c r="G83" s="6"/>
      <c r="H83" s="6"/>
      <c r="I83" s="6"/>
      <c r="J83" s="6"/>
      <c r="K83" s="6"/>
    </row>
    <row r="84" customFormat="false" ht="3" hidden="false" customHeight="true" outlineLevel="0" collapsed="false"/>
    <row r="85" customFormat="false" ht="16.5" hidden="false" customHeight="true" outlineLevel="0" collapsed="false">
      <c r="B85" s="7" t="s">
        <v>71</v>
      </c>
      <c r="C85" s="7"/>
      <c r="D85" s="7"/>
      <c r="E85" s="7"/>
      <c r="F85" s="7"/>
      <c r="G85" s="7"/>
      <c r="H85" s="7"/>
      <c r="I85" s="7"/>
      <c r="J85" s="7"/>
      <c r="K85" s="7"/>
    </row>
    <row r="86" customFormat="false" ht="16.5" hidden="false" customHeight="true" outlineLevel="0" collapsed="false">
      <c r="B86" s="7" t="s">
        <v>72</v>
      </c>
      <c r="C86" s="7"/>
      <c r="D86" s="7"/>
      <c r="E86" s="7"/>
      <c r="F86" s="7"/>
      <c r="G86" s="7"/>
      <c r="H86" s="7"/>
      <c r="I86" s="7"/>
      <c r="J86" s="7"/>
      <c r="K86" s="7"/>
    </row>
    <row r="87" customFormat="false" ht="16.5" hidden="false" customHeight="true" outlineLevel="0" collapsed="false">
      <c r="B87" s="7" t="s">
        <v>73</v>
      </c>
      <c r="C87" s="7"/>
      <c r="D87" s="7"/>
      <c r="E87" s="7"/>
      <c r="F87" s="7"/>
      <c r="G87" s="7"/>
      <c r="H87" s="7"/>
      <c r="I87" s="7"/>
      <c r="J87" s="7"/>
      <c r="K87" s="7"/>
    </row>
    <row r="88" customFormat="false" ht="16.5" hidden="false" customHeight="true" outlineLevel="0" collapsed="false">
      <c r="B88" s="7" t="s">
        <v>74</v>
      </c>
      <c r="C88" s="7"/>
      <c r="D88" s="7"/>
      <c r="E88" s="7"/>
      <c r="F88" s="7"/>
      <c r="G88" s="7"/>
      <c r="H88" s="7"/>
      <c r="I88" s="7"/>
      <c r="J88" s="7"/>
      <c r="K88" s="7"/>
    </row>
    <row r="89" customFormat="false" ht="16.5" hidden="false" customHeight="true" outlineLevel="0" collapsed="false">
      <c r="B89" s="7" t="s">
        <v>75</v>
      </c>
      <c r="C89" s="7"/>
      <c r="D89" s="7"/>
      <c r="E89" s="7"/>
      <c r="F89" s="7"/>
      <c r="G89" s="7"/>
      <c r="H89" s="7"/>
      <c r="I89" s="7"/>
      <c r="J89" s="7"/>
      <c r="K89" s="7"/>
    </row>
    <row r="90" customFormat="false" ht="16.5" hidden="false" customHeight="true" outlineLevel="0" collapsed="false">
      <c r="B90" s="7" t="s">
        <v>76</v>
      </c>
      <c r="C90" s="7"/>
      <c r="D90" s="7"/>
      <c r="E90" s="7"/>
      <c r="F90" s="7"/>
      <c r="G90" s="7"/>
      <c r="H90" s="7"/>
      <c r="I90" s="7"/>
      <c r="J90" s="7"/>
      <c r="K90" s="7"/>
    </row>
    <row r="91" customFormat="false" ht="16.5" hidden="false" customHeight="true" outlineLevel="0" collapsed="false">
      <c r="B91" s="7" t="s">
        <v>77</v>
      </c>
      <c r="C91" s="7"/>
      <c r="D91" s="7"/>
      <c r="E91" s="7"/>
      <c r="F91" s="7"/>
      <c r="G91" s="7"/>
      <c r="H91" s="7"/>
      <c r="I91" s="7"/>
      <c r="J91" s="7"/>
      <c r="K91" s="7"/>
    </row>
    <row r="92" customFormat="false" ht="16.5" hidden="false" customHeight="true" outlineLevel="0" collapsed="false">
      <c r="B92" s="7" t="s">
        <v>78</v>
      </c>
      <c r="C92" s="7"/>
      <c r="D92" s="7"/>
      <c r="E92" s="7"/>
      <c r="F92" s="7"/>
      <c r="G92" s="7"/>
      <c r="H92" s="7"/>
      <c r="I92" s="7"/>
      <c r="J92" s="7"/>
      <c r="K92" s="7"/>
    </row>
    <row r="93" customFormat="false" ht="4.5" hidden="false" customHeight="true" outlineLevel="0" collapsed="false"/>
    <row r="94" customFormat="false" ht="19.5" hidden="false" customHeight="true" outlineLevel="0" collapsed="false">
      <c r="B94" s="6" t="s">
        <v>79</v>
      </c>
      <c r="C94" s="6"/>
      <c r="D94" s="6"/>
      <c r="E94" s="6"/>
      <c r="F94" s="6"/>
      <c r="G94" s="6"/>
      <c r="H94" s="6"/>
      <c r="I94" s="6"/>
      <c r="J94" s="6"/>
      <c r="K94" s="6"/>
    </row>
    <row r="95" customFormat="false" ht="3" hidden="false" customHeight="true" outlineLevel="0" collapsed="false"/>
    <row r="96" customFormat="false" ht="16.5" hidden="false" customHeight="true" outlineLevel="0" collapsed="false">
      <c r="B96" s="17" t="s">
        <v>80</v>
      </c>
      <c r="C96" s="17"/>
      <c r="D96" s="17"/>
      <c r="E96" s="17"/>
      <c r="F96" s="17"/>
      <c r="G96" s="17"/>
      <c r="H96" s="17"/>
      <c r="I96" s="17"/>
      <c r="J96" s="17"/>
      <c r="K96" s="17"/>
    </row>
    <row r="97" customFormat="false" ht="16.5" hidden="false" customHeight="true" outlineLevel="0" collapsed="false">
      <c r="B97" s="17" t="s">
        <v>81</v>
      </c>
      <c r="C97" s="17"/>
      <c r="D97" s="17"/>
      <c r="E97" s="17"/>
      <c r="F97" s="17"/>
      <c r="G97" s="17"/>
      <c r="H97" s="17"/>
      <c r="I97" s="17"/>
      <c r="J97" s="17"/>
      <c r="K97" s="17"/>
    </row>
    <row r="98" customFormat="false" ht="30" hidden="false" customHeight="true" outlineLevel="0" collapsed="false">
      <c r="B98" s="17" t="s">
        <v>82</v>
      </c>
      <c r="C98" s="17"/>
      <c r="D98" s="17"/>
      <c r="E98" s="17"/>
      <c r="F98" s="17"/>
      <c r="G98" s="17"/>
      <c r="H98" s="17"/>
      <c r="I98" s="17"/>
      <c r="J98" s="17"/>
      <c r="K98" s="17"/>
    </row>
    <row r="99" customFormat="false" ht="4.5" hidden="false" customHeight="true" outlineLevel="0" collapsed="false"/>
    <row r="100" customFormat="false" ht="19.5" hidden="false" customHeight="true" outlineLevel="0" collapsed="false">
      <c r="B100" s="6" t="s">
        <v>83</v>
      </c>
      <c r="C100" s="6"/>
      <c r="D100" s="6"/>
      <c r="E100" s="6"/>
      <c r="F100" s="6"/>
      <c r="G100" s="6"/>
      <c r="H100" s="6"/>
      <c r="I100" s="6"/>
      <c r="J100" s="6"/>
      <c r="K100" s="6"/>
    </row>
    <row r="101" customFormat="false" ht="3" hidden="false" customHeight="true" outlineLevel="0" collapsed="false"/>
    <row r="102" customFormat="false" ht="30" hidden="false" customHeight="true" outlineLevel="0" collapsed="false">
      <c r="B102" s="7" t="s">
        <v>84</v>
      </c>
      <c r="C102" s="7"/>
      <c r="D102" s="7"/>
      <c r="E102" s="7"/>
      <c r="F102" s="7"/>
      <c r="G102" s="7"/>
      <c r="H102" s="7"/>
      <c r="I102" s="7"/>
      <c r="J102" s="7"/>
      <c r="K102" s="7"/>
    </row>
    <row r="103" customFormat="false" ht="30" hidden="false" customHeight="true" outlineLevel="0" collapsed="false">
      <c r="B103" s="7" t="s">
        <v>85</v>
      </c>
      <c r="C103" s="7"/>
      <c r="D103" s="7"/>
      <c r="E103" s="7"/>
      <c r="F103" s="7"/>
      <c r="G103" s="7"/>
      <c r="H103" s="7"/>
      <c r="I103" s="7"/>
      <c r="J103" s="7"/>
      <c r="K103" s="7"/>
    </row>
    <row r="104" customFormat="false" ht="30" hidden="false" customHeight="true" outlineLevel="0" collapsed="false">
      <c r="B104" s="7" t="s">
        <v>86</v>
      </c>
      <c r="C104" s="7"/>
      <c r="D104" s="7"/>
      <c r="E104" s="7"/>
      <c r="F104" s="7"/>
      <c r="G104" s="7"/>
      <c r="H104" s="7"/>
      <c r="I104" s="7"/>
      <c r="J104" s="7"/>
      <c r="K104" s="7"/>
    </row>
    <row r="105" customFormat="false" ht="30" hidden="false" customHeight="true" outlineLevel="0" collapsed="false">
      <c r="B105" s="7" t="s">
        <v>87</v>
      </c>
      <c r="C105" s="7"/>
      <c r="D105" s="7"/>
      <c r="E105" s="7"/>
      <c r="F105" s="7"/>
      <c r="G105" s="7"/>
      <c r="H105" s="7"/>
      <c r="I105" s="7"/>
      <c r="J105" s="7"/>
      <c r="K105" s="7"/>
    </row>
    <row r="106" customFormat="false" ht="30" hidden="false" customHeight="true" outlineLevel="0" collapsed="false">
      <c r="B106" s="7" t="s">
        <v>88</v>
      </c>
      <c r="C106" s="7"/>
      <c r="D106" s="7"/>
      <c r="E106" s="7"/>
      <c r="F106" s="7"/>
      <c r="G106" s="7"/>
      <c r="H106" s="7"/>
      <c r="I106" s="7"/>
      <c r="J106" s="7"/>
      <c r="K106" s="7"/>
    </row>
    <row r="107" customFormat="false" ht="6" hidden="false" customHeight="true" outlineLevel="0" collapsed="false"/>
    <row r="108" customFormat="false" ht="39.75" hidden="false" customHeight="true" outlineLevel="0" collapsed="false">
      <c r="B108" s="18" t="s">
        <v>89</v>
      </c>
      <c r="C108" s="18"/>
      <c r="D108" s="18"/>
      <c r="E108" s="18"/>
      <c r="F108" s="18"/>
      <c r="G108" s="18"/>
      <c r="H108" s="18"/>
      <c r="I108" s="18"/>
      <c r="J108" s="18"/>
      <c r="K108" s="18"/>
    </row>
  </sheetData>
  <sheetProtection sheet="true" password="df18" formatCells="false" formatColumns="false" formatRows="false" insertRows="false" deleteRows="false" sort="false" autoFilter="false"/>
  <mergeCells count="88">
    <mergeCell ref="D1:K1"/>
    <mergeCell ref="B2:K2"/>
    <mergeCell ref="B3:K3"/>
    <mergeCell ref="B5:K5"/>
    <mergeCell ref="B7:K7"/>
    <mergeCell ref="B8:K8"/>
    <mergeCell ref="B10:K10"/>
    <mergeCell ref="B12:K12"/>
    <mergeCell ref="B14:K14"/>
    <mergeCell ref="B15:K15"/>
    <mergeCell ref="B16:K16"/>
    <mergeCell ref="B17:K17"/>
    <mergeCell ref="B19:K19"/>
    <mergeCell ref="B21:K21"/>
    <mergeCell ref="B22:K22"/>
    <mergeCell ref="B23:K23"/>
    <mergeCell ref="B24:K24"/>
    <mergeCell ref="B25:K25"/>
    <mergeCell ref="B26:K26"/>
    <mergeCell ref="B27:K27"/>
    <mergeCell ref="B29:K29"/>
    <mergeCell ref="B31:K31"/>
    <mergeCell ref="B32:K32"/>
    <mergeCell ref="B33:K33"/>
    <mergeCell ref="B34:K34"/>
    <mergeCell ref="B36:K36"/>
    <mergeCell ref="B38:K38"/>
    <mergeCell ref="B39:K39"/>
    <mergeCell ref="B40:K40"/>
    <mergeCell ref="B42:K42"/>
    <mergeCell ref="B44:D44"/>
    <mergeCell ref="E44:K44"/>
    <mergeCell ref="B45:D45"/>
    <mergeCell ref="E45:K45"/>
    <mergeCell ref="B46:D46"/>
    <mergeCell ref="E46:K46"/>
    <mergeCell ref="B47:D47"/>
    <mergeCell ref="E47:K47"/>
    <mergeCell ref="B49:D49"/>
    <mergeCell ref="E49:K49"/>
    <mergeCell ref="B50:D50"/>
    <mergeCell ref="E50:K50"/>
    <mergeCell ref="B51:D51"/>
    <mergeCell ref="E51:K51"/>
    <mergeCell ref="B52:D52"/>
    <mergeCell ref="E52:K52"/>
    <mergeCell ref="B54:K54"/>
    <mergeCell ref="B55:K55"/>
    <mergeCell ref="B57:K57"/>
    <mergeCell ref="B59:K59"/>
    <mergeCell ref="B60:K60"/>
    <mergeCell ref="B61:K61"/>
    <mergeCell ref="B62:K62"/>
    <mergeCell ref="B63:K63"/>
    <mergeCell ref="B64:K64"/>
    <mergeCell ref="B65:K65"/>
    <mergeCell ref="B66:K66"/>
    <mergeCell ref="B67:K67"/>
    <mergeCell ref="B69:K69"/>
    <mergeCell ref="B71:K71"/>
    <mergeCell ref="B72:K72"/>
    <mergeCell ref="B73:K73"/>
    <mergeCell ref="B74:K74"/>
    <mergeCell ref="B75:K75"/>
    <mergeCell ref="B77:K77"/>
    <mergeCell ref="B79:K79"/>
    <mergeCell ref="B80:K80"/>
    <mergeCell ref="B81:K81"/>
    <mergeCell ref="B83:K83"/>
    <mergeCell ref="B85:K85"/>
    <mergeCell ref="B86:K86"/>
    <mergeCell ref="B87:K87"/>
    <mergeCell ref="B88:K88"/>
    <mergeCell ref="B89:K89"/>
    <mergeCell ref="B90:K90"/>
    <mergeCell ref="B91:K91"/>
    <mergeCell ref="B92:K92"/>
    <mergeCell ref="B94:K94"/>
    <mergeCell ref="B96:K96"/>
    <mergeCell ref="B97:K97"/>
    <mergeCell ref="B98:K98"/>
    <mergeCell ref="B100:K100"/>
    <mergeCell ref="B102:K102"/>
    <mergeCell ref="B103:K103"/>
    <mergeCell ref="B104:K104"/>
    <mergeCell ref="B105:K105"/>
    <mergeCell ref="B106:K106"/>
    <mergeCell ref="B108:K108"/>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T78"/>
  <sheetViews>
    <sheetView showFormulas="false" showGridLines="false" showRowColHeaders="true" showZeros="true" rightToLeft="false" tabSelected="true" showOutlineSymbols="true" defaultGridColor="true" view="normal" topLeftCell="A1" colorId="64" zoomScale="90" zoomScaleNormal="9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0" min="2" style="0" width="11"/>
  </cols>
  <sheetData>
    <row r="1" customFormat="false" ht="24" hidden="false" customHeight="true" outlineLevel="0" collapsed="false">
      <c r="A1" s="19"/>
      <c r="B1" s="20" t="s">
        <v>90</v>
      </c>
      <c r="C1" s="20"/>
      <c r="D1" s="20"/>
      <c r="E1" s="20"/>
      <c r="F1" s="20"/>
      <c r="G1" s="20"/>
      <c r="H1" s="20"/>
      <c r="I1" s="20"/>
      <c r="J1" s="20"/>
      <c r="K1" s="20"/>
      <c r="L1" s="20"/>
      <c r="M1" s="20"/>
      <c r="N1" s="20"/>
      <c r="O1" s="20"/>
      <c r="P1" s="20"/>
      <c r="Q1" s="21" t="s">
        <v>91</v>
      </c>
      <c r="R1" s="22" t="n">
        <f aca="true">TODAY()</f>
        <v>46224</v>
      </c>
      <c r="S1" s="19"/>
      <c r="T1" s="19"/>
    </row>
    <row r="2" customFormat="false" ht="18" hidden="false" customHeight="true" outlineLevel="0" collapsed="false">
      <c r="A2" s="19"/>
      <c r="B2" s="23" t="s">
        <v>92</v>
      </c>
      <c r="C2" s="23"/>
      <c r="D2" s="23"/>
      <c r="E2" s="23"/>
      <c r="F2" s="23"/>
      <c r="G2" s="23"/>
      <c r="H2" s="23"/>
      <c r="I2" s="23"/>
      <c r="J2" s="23"/>
      <c r="K2" s="23"/>
      <c r="L2" s="23"/>
      <c r="M2" s="23"/>
      <c r="N2" s="23"/>
      <c r="O2" s="23"/>
      <c r="P2" s="23"/>
      <c r="Q2" s="19"/>
      <c r="R2" s="19"/>
      <c r="S2" s="19"/>
      <c r="T2" s="19"/>
    </row>
    <row r="3" customFormat="false" ht="15" hidden="false" customHeight="false" outlineLevel="0" collapsed="false">
      <c r="A3" s="24"/>
      <c r="B3" s="24"/>
      <c r="C3" s="24"/>
      <c r="D3" s="24"/>
      <c r="E3" s="24"/>
      <c r="F3" s="24"/>
      <c r="G3" s="24"/>
      <c r="H3" s="24"/>
      <c r="I3" s="24"/>
      <c r="J3" s="24"/>
      <c r="K3" s="24"/>
      <c r="L3" s="24"/>
      <c r="M3" s="24"/>
      <c r="N3" s="24"/>
      <c r="O3" s="24"/>
      <c r="P3" s="24"/>
      <c r="Q3" s="24"/>
      <c r="R3" s="24"/>
      <c r="S3" s="24"/>
      <c r="T3" s="24"/>
    </row>
    <row r="4" customFormat="false" ht="13.5" hidden="false" customHeight="true" outlineLevel="0" collapsed="false">
      <c r="A4" s="24"/>
      <c r="B4" s="25" t="s">
        <v>93</v>
      </c>
      <c r="C4" s="25"/>
      <c r="D4" s="25"/>
      <c r="E4" s="25"/>
      <c r="F4" s="24"/>
      <c r="G4" s="25" t="s">
        <v>94</v>
      </c>
      <c r="H4" s="25"/>
      <c r="I4" s="25"/>
      <c r="J4" s="25"/>
      <c r="K4" s="24"/>
      <c r="L4" s="25" t="s">
        <v>95</v>
      </c>
      <c r="M4" s="25"/>
      <c r="N4" s="25"/>
      <c r="O4" s="25"/>
      <c r="P4" s="24"/>
      <c r="Q4" s="25" t="s">
        <v>96</v>
      </c>
      <c r="R4" s="25"/>
      <c r="S4" s="25"/>
      <c r="T4" s="25"/>
    </row>
    <row r="5" customFormat="false" ht="15" hidden="false" customHeight="false" outlineLevel="0" collapsed="false">
      <c r="A5" s="24"/>
      <c r="B5" s="26" t="n">
        <f aca="false">COUNTIF(Inv_Nom,"&lt;&gt;")</f>
        <v>20</v>
      </c>
      <c r="C5" s="26"/>
      <c r="D5" s="26"/>
      <c r="E5" s="26"/>
      <c r="F5" s="24"/>
      <c r="G5" s="27" t="n">
        <f aca="false">COUNTIFS(Inv_Nom,"&lt;&gt;",Inv_CMR,"Oui")</f>
        <v>2</v>
      </c>
      <c r="H5" s="27"/>
      <c r="I5" s="27"/>
      <c r="J5" s="27"/>
      <c r="K5" s="24"/>
      <c r="L5" s="28" t="n">
        <f aca="false">COUNTIF(Inv_StatutFDS,"FDS ABSENTE")</f>
        <v>2</v>
      </c>
      <c r="M5" s="28"/>
      <c r="N5" s="28"/>
      <c r="O5" s="28"/>
      <c r="P5" s="24"/>
      <c r="Q5" s="27" t="n">
        <f aca="false">COUNTIF(Inv_StatutFDS,"EXPIRÉE")</f>
        <v>2</v>
      </c>
      <c r="R5" s="27"/>
      <c r="S5" s="27"/>
      <c r="T5" s="27"/>
    </row>
    <row r="6" customFormat="false" ht="15" hidden="false" customHeight="false" outlineLevel="0" collapsed="false">
      <c r="A6" s="24"/>
      <c r="B6" s="26"/>
      <c r="C6" s="26"/>
      <c r="D6" s="26"/>
      <c r="E6" s="26"/>
      <c r="F6" s="24"/>
      <c r="G6" s="27"/>
      <c r="H6" s="27"/>
      <c r="I6" s="27"/>
      <c r="J6" s="27"/>
      <c r="K6" s="24"/>
      <c r="L6" s="28"/>
      <c r="M6" s="28"/>
      <c r="N6" s="28"/>
      <c r="O6" s="28"/>
      <c r="P6" s="24"/>
      <c r="Q6" s="27"/>
      <c r="R6" s="27"/>
      <c r="S6" s="27"/>
      <c r="T6" s="27"/>
    </row>
    <row r="7" customFormat="false" ht="15" hidden="false" customHeight="false" outlineLevel="0" collapsed="false">
      <c r="A7" s="24"/>
      <c r="B7" s="24"/>
      <c r="C7" s="24"/>
      <c r="D7" s="24"/>
      <c r="E7" s="24"/>
      <c r="F7" s="24"/>
      <c r="G7" s="24"/>
      <c r="H7" s="24"/>
      <c r="I7" s="24"/>
      <c r="J7" s="24"/>
      <c r="K7" s="24"/>
      <c r="L7" s="24"/>
      <c r="M7" s="24"/>
      <c r="N7" s="24"/>
      <c r="O7" s="24"/>
      <c r="P7" s="24"/>
      <c r="Q7" s="24"/>
      <c r="R7" s="24"/>
      <c r="S7" s="24"/>
      <c r="T7" s="24"/>
    </row>
    <row r="8" customFormat="false" ht="13.5" hidden="false" customHeight="true" outlineLevel="0" collapsed="false">
      <c r="A8" s="24"/>
      <c r="B8" s="25" t="s">
        <v>97</v>
      </c>
      <c r="C8" s="25"/>
      <c r="D8" s="25"/>
      <c r="E8" s="25"/>
      <c r="F8" s="24"/>
      <c r="G8" s="25" t="s">
        <v>98</v>
      </c>
      <c r="H8" s="25"/>
      <c r="I8" s="25"/>
      <c r="J8" s="25"/>
      <c r="K8" s="24"/>
      <c r="L8" s="25" t="s">
        <v>99</v>
      </c>
      <c r="M8" s="25"/>
      <c r="N8" s="25"/>
      <c r="O8" s="25"/>
      <c r="P8" s="24"/>
      <c r="Q8" s="25" t="s">
        <v>100</v>
      </c>
      <c r="R8" s="25"/>
      <c r="S8" s="25"/>
      <c r="T8" s="25"/>
    </row>
    <row r="9" customFormat="false" ht="15" hidden="false" customHeight="false" outlineLevel="0" collapsed="false">
      <c r="A9" s="24"/>
      <c r="B9" s="29" t="n">
        <f aca="false">COUNTIF(Inv_StatutFDS,"À RENOUVELER")</f>
        <v>2</v>
      </c>
      <c r="C9" s="29"/>
      <c r="D9" s="29"/>
      <c r="E9" s="29"/>
      <c r="F9" s="24"/>
      <c r="G9" s="26" t="n">
        <f aca="false">COUNTIFS(Inv_Nom,"&lt;&gt;",Inv_Auth,"Oui")</f>
        <v>1</v>
      </c>
      <c r="H9" s="26"/>
      <c r="I9" s="26"/>
      <c r="J9" s="26"/>
      <c r="K9" s="24"/>
      <c r="L9" s="30" t="n">
        <f aca="false">COUNTIF(Inv_StatutFDS,"CONFORME")</f>
        <v>14</v>
      </c>
      <c r="M9" s="30"/>
      <c r="N9" s="30"/>
      <c r="O9" s="30"/>
      <c r="P9" s="24"/>
      <c r="Q9" s="31" t="n">
        <f aca="false">IFERROR(L9/B5,0)</f>
        <v>0.7</v>
      </c>
      <c r="R9" s="31"/>
      <c r="S9" s="32" t="str">
        <f aca="false">IF(Q9&gt;=0.9,"🟢",IF(Q9&gt;=0.7,"🟠","🔴"))</f>
        <v>🟠</v>
      </c>
      <c r="T9" s="32"/>
    </row>
    <row r="10" customFormat="false" ht="15" hidden="false" customHeight="false" outlineLevel="0" collapsed="false">
      <c r="A10" s="24"/>
      <c r="B10" s="29"/>
      <c r="C10" s="29"/>
      <c r="D10" s="29"/>
      <c r="E10" s="29"/>
      <c r="F10" s="24"/>
      <c r="G10" s="26"/>
      <c r="H10" s="26"/>
      <c r="I10" s="26"/>
      <c r="J10" s="26"/>
      <c r="K10" s="24"/>
      <c r="L10" s="30"/>
      <c r="M10" s="30"/>
      <c r="N10" s="30"/>
      <c r="O10" s="30"/>
      <c r="P10" s="24"/>
      <c r="Q10" s="31"/>
      <c r="R10" s="31"/>
      <c r="S10" s="32"/>
      <c r="T10" s="32"/>
    </row>
    <row r="11" customFormat="false" ht="15" hidden="false" customHeight="true" outlineLevel="0" collapsed="false">
      <c r="A11" s="24"/>
      <c r="B11" s="24"/>
      <c r="C11" s="24"/>
      <c r="D11" s="24"/>
      <c r="E11" s="24"/>
      <c r="F11" s="24"/>
      <c r="G11" s="24"/>
      <c r="H11" s="24"/>
      <c r="I11" s="24"/>
      <c r="J11" s="24"/>
      <c r="K11" s="24"/>
      <c r="L11" s="24"/>
      <c r="M11" s="24"/>
      <c r="N11" s="24"/>
      <c r="O11" s="24"/>
      <c r="P11" s="24"/>
      <c r="Q11" s="33" t="s">
        <v>101</v>
      </c>
      <c r="R11" s="33"/>
      <c r="S11" s="33"/>
      <c r="T11" s="33"/>
    </row>
    <row r="12" customFormat="false" ht="15" hidden="false" customHeight="false" outlineLevel="0" collapsed="false">
      <c r="A12" s="24"/>
      <c r="B12" s="24"/>
      <c r="C12" s="24"/>
      <c r="D12" s="24"/>
      <c r="E12" s="24"/>
      <c r="F12" s="24"/>
      <c r="G12" s="24"/>
      <c r="H12" s="24"/>
      <c r="I12" s="24"/>
      <c r="J12" s="24"/>
      <c r="K12" s="24"/>
      <c r="L12" s="24"/>
      <c r="M12" s="24"/>
      <c r="N12" s="24"/>
      <c r="O12" s="24"/>
      <c r="P12" s="24"/>
      <c r="Q12" s="24"/>
      <c r="R12" s="24"/>
      <c r="S12" s="24"/>
      <c r="T12" s="24"/>
    </row>
    <row r="13" customFormat="false" ht="15" hidden="false" customHeight="false" outlineLevel="0" collapsed="false">
      <c r="A13" s="24"/>
      <c r="B13" s="24"/>
      <c r="C13" s="24"/>
      <c r="D13" s="24"/>
      <c r="E13" s="24"/>
      <c r="F13" s="24"/>
      <c r="G13" s="24"/>
      <c r="H13" s="24"/>
      <c r="I13" s="24"/>
      <c r="J13" s="24"/>
      <c r="K13" s="24"/>
      <c r="L13" s="24"/>
      <c r="M13" s="24"/>
      <c r="N13" s="24"/>
      <c r="O13" s="24"/>
      <c r="P13" s="24"/>
      <c r="Q13" s="24"/>
      <c r="R13" s="24"/>
      <c r="S13" s="24"/>
      <c r="T13" s="24"/>
    </row>
    <row r="14" customFormat="false" ht="15" hidden="false" customHeight="false" outlineLevel="0" collapsed="false">
      <c r="A14" s="24"/>
      <c r="B14" s="24"/>
      <c r="C14" s="24"/>
      <c r="D14" s="24"/>
      <c r="E14" s="24"/>
      <c r="F14" s="24"/>
      <c r="G14" s="24"/>
      <c r="H14" s="24"/>
      <c r="I14" s="24"/>
      <c r="J14" s="24"/>
      <c r="K14" s="24"/>
      <c r="L14" s="24"/>
      <c r="M14" s="24"/>
      <c r="N14" s="24"/>
      <c r="O14" s="24"/>
      <c r="P14" s="24"/>
      <c r="Q14" s="24"/>
      <c r="R14" s="24"/>
      <c r="S14" s="24"/>
      <c r="T14" s="24"/>
    </row>
    <row r="15" customFormat="false" ht="15" hidden="false" customHeight="false" outlineLevel="0" collapsed="false">
      <c r="A15" s="24"/>
      <c r="B15" s="24"/>
      <c r="C15" s="24"/>
      <c r="D15" s="24"/>
      <c r="E15" s="24"/>
      <c r="F15" s="24"/>
      <c r="G15" s="24"/>
      <c r="H15" s="24"/>
      <c r="I15" s="24"/>
      <c r="J15" s="24"/>
      <c r="K15" s="24"/>
      <c r="L15" s="24"/>
      <c r="M15" s="24"/>
      <c r="N15" s="24"/>
      <c r="O15" s="24"/>
      <c r="P15" s="24"/>
      <c r="Q15" s="24"/>
      <c r="R15" s="24"/>
      <c r="S15" s="24"/>
      <c r="T15" s="24"/>
    </row>
    <row r="16" customFormat="false" ht="15" hidden="false" customHeight="false" outlineLevel="0" collapsed="false">
      <c r="A16" s="24"/>
      <c r="B16" s="24"/>
      <c r="C16" s="24"/>
      <c r="D16" s="24"/>
      <c r="E16" s="24"/>
      <c r="F16" s="24"/>
      <c r="G16" s="24"/>
      <c r="H16" s="24"/>
      <c r="I16" s="24"/>
      <c r="J16" s="24"/>
      <c r="K16" s="24"/>
      <c r="L16" s="24"/>
      <c r="M16" s="24"/>
      <c r="N16" s="24"/>
      <c r="O16" s="24"/>
      <c r="P16" s="24"/>
      <c r="Q16" s="24"/>
      <c r="R16" s="24"/>
      <c r="S16" s="24"/>
      <c r="T16" s="24"/>
    </row>
    <row r="17" customFormat="false" ht="15" hidden="false" customHeight="false" outlineLevel="0" collapsed="false">
      <c r="A17" s="24"/>
      <c r="B17" s="24"/>
      <c r="C17" s="24"/>
      <c r="D17" s="24"/>
      <c r="E17" s="24"/>
      <c r="F17" s="24"/>
      <c r="G17" s="24"/>
      <c r="H17" s="24"/>
      <c r="I17" s="24"/>
      <c r="J17" s="24"/>
      <c r="K17" s="24"/>
      <c r="L17" s="24"/>
      <c r="M17" s="24"/>
      <c r="N17" s="24"/>
      <c r="O17" s="24"/>
      <c r="P17" s="24"/>
      <c r="Q17" s="24"/>
      <c r="R17" s="24"/>
      <c r="S17" s="24"/>
      <c r="T17" s="24"/>
    </row>
    <row r="18" customFormat="false" ht="15" hidden="false" customHeight="false" outlineLevel="0" collapsed="false">
      <c r="A18" s="24"/>
      <c r="B18" s="24"/>
      <c r="C18" s="24"/>
      <c r="D18" s="24"/>
      <c r="E18" s="24"/>
      <c r="F18" s="24"/>
      <c r="G18" s="24"/>
      <c r="H18" s="24"/>
      <c r="I18" s="24"/>
      <c r="J18" s="24"/>
      <c r="K18" s="24"/>
      <c r="L18" s="24"/>
      <c r="M18" s="24"/>
      <c r="N18" s="24"/>
      <c r="O18" s="24"/>
      <c r="P18" s="24"/>
      <c r="Q18" s="24"/>
      <c r="R18" s="24"/>
      <c r="S18" s="24"/>
      <c r="T18" s="24"/>
    </row>
    <row r="19" customFormat="false" ht="15" hidden="false" customHeight="false" outlineLevel="0" collapsed="false">
      <c r="A19" s="24"/>
      <c r="B19" s="24"/>
      <c r="C19" s="24"/>
      <c r="D19" s="24"/>
      <c r="E19" s="24"/>
      <c r="F19" s="24"/>
      <c r="G19" s="24"/>
      <c r="H19" s="24"/>
      <c r="I19" s="24"/>
      <c r="J19" s="24"/>
      <c r="K19" s="24"/>
      <c r="L19" s="24"/>
      <c r="M19" s="24"/>
      <c r="N19" s="24"/>
      <c r="O19" s="24"/>
      <c r="P19" s="24"/>
      <c r="Q19" s="24"/>
      <c r="R19" s="24"/>
      <c r="S19" s="24"/>
      <c r="T19" s="24"/>
    </row>
    <row r="20" customFormat="false" ht="15" hidden="false" customHeight="false" outlineLevel="0" collapsed="false">
      <c r="A20" s="24"/>
      <c r="B20" s="24"/>
      <c r="C20" s="24"/>
      <c r="D20" s="24"/>
      <c r="E20" s="24"/>
      <c r="F20" s="24"/>
      <c r="G20" s="24"/>
      <c r="H20" s="24"/>
      <c r="I20" s="24"/>
      <c r="J20" s="24"/>
      <c r="K20" s="24"/>
      <c r="L20" s="24"/>
      <c r="M20" s="24"/>
      <c r="N20" s="24"/>
      <c r="O20" s="24"/>
      <c r="P20" s="24"/>
      <c r="Q20" s="24"/>
      <c r="R20" s="24"/>
      <c r="S20" s="24"/>
      <c r="T20" s="24"/>
    </row>
    <row r="21" customFormat="false" ht="15" hidden="false" customHeight="false" outlineLevel="0" collapsed="false">
      <c r="A21" s="24"/>
      <c r="B21" s="24"/>
      <c r="C21" s="24"/>
      <c r="D21" s="24"/>
      <c r="E21" s="24"/>
      <c r="F21" s="24"/>
      <c r="G21" s="24"/>
      <c r="H21" s="24"/>
      <c r="I21" s="24"/>
      <c r="J21" s="24"/>
      <c r="K21" s="24"/>
      <c r="L21" s="24"/>
      <c r="M21" s="24"/>
      <c r="N21" s="24"/>
      <c r="O21" s="24"/>
      <c r="P21" s="24"/>
      <c r="Q21" s="24"/>
      <c r="R21" s="24"/>
      <c r="S21" s="24"/>
      <c r="T21" s="24"/>
    </row>
    <row r="22" customFormat="false" ht="15" hidden="false" customHeight="false" outlineLevel="0" collapsed="false">
      <c r="A22" s="24"/>
      <c r="B22" s="24"/>
      <c r="C22" s="24"/>
      <c r="D22" s="24"/>
      <c r="E22" s="24"/>
      <c r="F22" s="24"/>
      <c r="G22" s="24"/>
      <c r="H22" s="24"/>
      <c r="I22" s="24"/>
      <c r="J22" s="24"/>
      <c r="K22" s="24"/>
      <c r="L22" s="24"/>
      <c r="M22" s="24"/>
      <c r="N22" s="24"/>
      <c r="O22" s="24"/>
      <c r="P22" s="24"/>
      <c r="Q22" s="24"/>
      <c r="R22" s="24"/>
      <c r="S22" s="24"/>
      <c r="T22" s="24"/>
    </row>
    <row r="23" customFormat="false" ht="15" hidden="false" customHeight="false" outlineLevel="0" collapsed="false">
      <c r="A23" s="24"/>
      <c r="B23" s="24"/>
      <c r="C23" s="24"/>
      <c r="D23" s="24"/>
      <c r="E23" s="24"/>
      <c r="F23" s="24"/>
      <c r="G23" s="24"/>
      <c r="H23" s="24"/>
      <c r="I23" s="24"/>
      <c r="J23" s="24"/>
      <c r="K23" s="24"/>
      <c r="L23" s="24"/>
      <c r="M23" s="24"/>
      <c r="N23" s="24"/>
      <c r="O23" s="24"/>
      <c r="P23" s="24"/>
      <c r="Q23" s="24"/>
      <c r="R23" s="24"/>
      <c r="S23" s="24"/>
      <c r="T23" s="24"/>
    </row>
    <row r="24" customFormat="false" ht="15" hidden="false" customHeight="false" outlineLevel="0" collapsed="false">
      <c r="A24" s="24"/>
      <c r="B24" s="24"/>
      <c r="C24" s="24"/>
      <c r="D24" s="24"/>
      <c r="E24" s="24"/>
      <c r="F24" s="24"/>
      <c r="G24" s="24"/>
      <c r="H24" s="24"/>
      <c r="I24" s="24"/>
      <c r="J24" s="24"/>
      <c r="K24" s="24"/>
      <c r="L24" s="24"/>
      <c r="M24" s="24"/>
      <c r="N24" s="24"/>
      <c r="O24" s="24"/>
      <c r="P24" s="24"/>
      <c r="Q24" s="24"/>
      <c r="R24" s="24"/>
      <c r="S24" s="24"/>
      <c r="T24" s="24"/>
    </row>
    <row r="25" customFormat="false" ht="15" hidden="false" customHeight="false" outlineLevel="0" collapsed="false">
      <c r="A25" s="24"/>
      <c r="B25" s="24"/>
      <c r="C25" s="24"/>
      <c r="D25" s="24"/>
      <c r="E25" s="24"/>
      <c r="F25" s="24"/>
      <c r="G25" s="24"/>
      <c r="H25" s="24"/>
      <c r="I25" s="24"/>
      <c r="J25" s="24"/>
      <c r="K25" s="24"/>
      <c r="L25" s="24"/>
      <c r="M25" s="24"/>
      <c r="N25" s="24"/>
      <c r="O25" s="24"/>
      <c r="P25" s="24"/>
      <c r="Q25" s="24"/>
      <c r="R25" s="24"/>
      <c r="S25" s="24"/>
      <c r="T25" s="24"/>
    </row>
    <row r="26" customFormat="false" ht="15" hidden="false" customHeight="false" outlineLevel="0" collapsed="false">
      <c r="A26" s="24"/>
      <c r="B26" s="24"/>
      <c r="C26" s="24"/>
      <c r="D26" s="24"/>
      <c r="E26" s="24"/>
      <c r="F26" s="24"/>
      <c r="G26" s="24"/>
      <c r="H26" s="24"/>
      <c r="I26" s="24"/>
      <c r="J26" s="24"/>
      <c r="K26" s="24"/>
      <c r="L26" s="24"/>
      <c r="M26" s="24"/>
      <c r="N26" s="24"/>
      <c r="O26" s="24"/>
      <c r="P26" s="24"/>
      <c r="Q26" s="24"/>
      <c r="R26" s="24"/>
      <c r="S26" s="24"/>
      <c r="T26" s="24"/>
    </row>
    <row r="27" customFormat="false" ht="15" hidden="false" customHeight="false" outlineLevel="0" collapsed="false">
      <c r="A27" s="24"/>
      <c r="B27" s="24"/>
      <c r="C27" s="24"/>
      <c r="D27" s="24"/>
      <c r="E27" s="24"/>
      <c r="F27" s="24"/>
      <c r="G27" s="24"/>
      <c r="H27" s="24"/>
      <c r="I27" s="24"/>
      <c r="J27" s="24"/>
      <c r="K27" s="24"/>
      <c r="L27" s="24"/>
      <c r="M27" s="24"/>
      <c r="N27" s="24"/>
      <c r="O27" s="24"/>
      <c r="P27" s="24"/>
      <c r="Q27" s="24"/>
      <c r="R27" s="24"/>
      <c r="S27" s="24"/>
      <c r="T27" s="24"/>
    </row>
    <row r="28" customFormat="false" ht="15" hidden="false" customHeight="false" outlineLevel="0" collapsed="false">
      <c r="A28" s="24"/>
      <c r="B28" s="24"/>
      <c r="C28" s="24"/>
      <c r="D28" s="24"/>
      <c r="E28" s="24"/>
      <c r="F28" s="24"/>
      <c r="G28" s="24"/>
      <c r="H28" s="24"/>
      <c r="I28" s="24"/>
      <c r="J28" s="24"/>
      <c r="K28" s="24"/>
      <c r="L28" s="24"/>
      <c r="M28" s="24"/>
      <c r="N28" s="24"/>
      <c r="O28" s="24"/>
      <c r="P28" s="24"/>
      <c r="Q28" s="24"/>
      <c r="R28" s="24"/>
      <c r="S28" s="24"/>
      <c r="T28" s="24"/>
    </row>
    <row r="29" customFormat="false" ht="15" hidden="false" customHeight="false" outlineLevel="0" collapsed="false">
      <c r="A29" s="24"/>
      <c r="B29" s="24"/>
      <c r="C29" s="24"/>
      <c r="D29" s="24"/>
      <c r="E29" s="24"/>
      <c r="F29" s="24"/>
      <c r="G29" s="24"/>
      <c r="H29" s="24"/>
      <c r="I29" s="24"/>
      <c r="J29" s="24"/>
      <c r="K29" s="24"/>
      <c r="L29" s="24"/>
      <c r="M29" s="24"/>
      <c r="N29" s="24"/>
      <c r="O29" s="24"/>
      <c r="P29" s="24"/>
      <c r="Q29" s="24"/>
      <c r="R29" s="24"/>
      <c r="S29" s="24"/>
      <c r="T29" s="24"/>
    </row>
    <row r="30" customFormat="false" ht="15" hidden="false" customHeight="false" outlineLevel="0" collapsed="false">
      <c r="A30" s="24"/>
      <c r="B30" s="24"/>
      <c r="C30" s="24"/>
      <c r="D30" s="24"/>
      <c r="E30" s="24"/>
      <c r="F30" s="24"/>
      <c r="G30" s="24"/>
      <c r="H30" s="24"/>
      <c r="I30" s="24"/>
      <c r="J30" s="24"/>
      <c r="K30" s="24"/>
      <c r="L30" s="24"/>
      <c r="M30" s="24"/>
      <c r="N30" s="24"/>
      <c r="O30" s="24"/>
      <c r="P30" s="24"/>
      <c r="Q30" s="24"/>
      <c r="R30" s="24"/>
      <c r="S30" s="24"/>
      <c r="T30" s="24"/>
    </row>
    <row r="31" customFormat="false" ht="15" hidden="false" customHeight="false" outlineLevel="0" collapsed="false">
      <c r="A31" s="24"/>
      <c r="B31" s="24"/>
      <c r="C31" s="24"/>
      <c r="D31" s="24"/>
      <c r="E31" s="24"/>
      <c r="F31" s="24"/>
      <c r="G31" s="24"/>
      <c r="H31" s="24"/>
      <c r="I31" s="24"/>
      <c r="J31" s="24"/>
      <c r="K31" s="24"/>
      <c r="L31" s="24"/>
      <c r="M31" s="24"/>
      <c r="N31" s="24"/>
      <c r="O31" s="24"/>
      <c r="P31" s="24"/>
      <c r="Q31" s="24"/>
      <c r="R31" s="24"/>
      <c r="S31" s="24"/>
      <c r="T31" s="24"/>
    </row>
    <row r="32" customFormat="false" ht="15" hidden="false" customHeight="false" outlineLevel="0" collapsed="false">
      <c r="A32" s="24"/>
      <c r="B32" s="24"/>
      <c r="C32" s="24"/>
      <c r="D32" s="24"/>
      <c r="E32" s="24"/>
      <c r="F32" s="24"/>
      <c r="G32" s="24"/>
      <c r="H32" s="24"/>
      <c r="I32" s="24"/>
      <c r="J32" s="24"/>
      <c r="K32" s="24"/>
      <c r="L32" s="24"/>
      <c r="M32" s="24"/>
      <c r="N32" s="24"/>
      <c r="O32" s="24"/>
      <c r="P32" s="24"/>
      <c r="Q32" s="24"/>
      <c r="R32" s="24"/>
      <c r="S32" s="24"/>
      <c r="T32" s="24"/>
    </row>
    <row r="33" customFormat="false" ht="15" hidden="false" customHeight="false" outlineLevel="0" collapsed="false">
      <c r="A33" s="24"/>
      <c r="B33" s="24"/>
      <c r="C33" s="24"/>
      <c r="D33" s="24"/>
      <c r="E33" s="24"/>
      <c r="F33" s="24"/>
      <c r="G33" s="24"/>
      <c r="H33" s="24"/>
      <c r="I33" s="24"/>
      <c r="J33" s="24"/>
      <c r="K33" s="24"/>
      <c r="L33" s="24"/>
      <c r="M33" s="24"/>
      <c r="N33" s="24"/>
      <c r="O33" s="24"/>
      <c r="P33" s="24"/>
      <c r="Q33" s="24"/>
      <c r="R33" s="24"/>
      <c r="S33" s="24"/>
      <c r="T33" s="24"/>
    </row>
    <row r="34" customFormat="false" ht="15" hidden="false" customHeight="false" outlineLevel="0" collapsed="false">
      <c r="A34" s="24"/>
      <c r="B34" s="24"/>
      <c r="C34" s="24"/>
      <c r="D34" s="24"/>
      <c r="E34" s="24"/>
      <c r="F34" s="24"/>
      <c r="G34" s="24"/>
      <c r="H34" s="24"/>
      <c r="I34" s="24"/>
      <c r="J34" s="24"/>
      <c r="K34" s="24"/>
      <c r="L34" s="24"/>
      <c r="M34" s="24"/>
      <c r="N34" s="24"/>
      <c r="O34" s="24"/>
      <c r="P34" s="24"/>
      <c r="Q34" s="24"/>
      <c r="R34" s="24"/>
      <c r="S34" s="24"/>
      <c r="T34" s="24"/>
    </row>
    <row r="35" customFormat="false" ht="15" hidden="false" customHeight="false" outlineLevel="0" collapsed="false">
      <c r="A35" s="24"/>
      <c r="B35" s="24"/>
      <c r="C35" s="24"/>
      <c r="D35" s="24"/>
      <c r="E35" s="24"/>
      <c r="F35" s="24"/>
      <c r="G35" s="24"/>
      <c r="H35" s="24"/>
      <c r="I35" s="24"/>
      <c r="J35" s="24"/>
      <c r="K35" s="24"/>
      <c r="L35" s="24"/>
      <c r="M35" s="24"/>
      <c r="N35" s="24"/>
      <c r="O35" s="24"/>
      <c r="P35" s="24"/>
      <c r="Q35" s="24"/>
      <c r="R35" s="24"/>
      <c r="S35" s="24"/>
      <c r="T35" s="24"/>
    </row>
    <row r="36" customFormat="false" ht="15" hidden="false" customHeight="false" outlineLevel="0" collapsed="false">
      <c r="A36" s="24"/>
      <c r="B36" s="24"/>
      <c r="C36" s="24"/>
      <c r="D36" s="24"/>
      <c r="E36" s="24"/>
      <c r="F36" s="24"/>
      <c r="G36" s="24"/>
      <c r="H36" s="24"/>
      <c r="I36" s="24"/>
      <c r="J36" s="24"/>
      <c r="K36" s="24"/>
      <c r="L36" s="24"/>
      <c r="M36" s="24"/>
      <c r="N36" s="24"/>
      <c r="O36" s="24"/>
      <c r="P36" s="24"/>
      <c r="Q36" s="24"/>
      <c r="R36" s="24"/>
      <c r="S36" s="24"/>
      <c r="T36" s="24"/>
    </row>
    <row r="37" customFormat="false" ht="15" hidden="false" customHeight="false" outlineLevel="0" collapsed="false">
      <c r="A37" s="24"/>
      <c r="B37" s="24"/>
      <c r="C37" s="24"/>
      <c r="D37" s="24"/>
      <c r="E37" s="24"/>
      <c r="F37" s="24"/>
      <c r="G37" s="24"/>
      <c r="H37" s="24"/>
      <c r="I37" s="24"/>
      <c r="J37" s="24"/>
      <c r="K37" s="24"/>
      <c r="L37" s="24"/>
      <c r="M37" s="24"/>
      <c r="N37" s="24"/>
      <c r="O37" s="24"/>
      <c r="P37" s="24"/>
      <c r="Q37" s="24"/>
      <c r="R37" s="24"/>
      <c r="S37" s="24"/>
      <c r="T37" s="24"/>
    </row>
    <row r="38" customFormat="false" ht="15" hidden="false" customHeight="false" outlineLevel="0" collapsed="false">
      <c r="A38" s="24"/>
      <c r="B38" s="24"/>
      <c r="C38" s="24"/>
      <c r="D38" s="24"/>
      <c r="E38" s="24"/>
      <c r="F38" s="24"/>
      <c r="G38" s="24"/>
      <c r="H38" s="24"/>
      <c r="I38" s="24"/>
      <c r="J38" s="24"/>
      <c r="K38" s="24"/>
      <c r="L38" s="24"/>
      <c r="M38" s="24"/>
      <c r="N38" s="24"/>
      <c r="O38" s="24"/>
      <c r="P38" s="24"/>
      <c r="Q38" s="24"/>
      <c r="R38" s="24"/>
      <c r="S38" s="24"/>
      <c r="T38" s="24"/>
    </row>
    <row r="39" customFormat="false" ht="15" hidden="false" customHeight="false" outlineLevel="0" collapsed="false">
      <c r="A39" s="24"/>
      <c r="B39" s="24"/>
      <c r="C39" s="24"/>
      <c r="D39" s="24"/>
      <c r="E39" s="24"/>
      <c r="F39" s="24"/>
      <c r="G39" s="24"/>
      <c r="H39" s="24"/>
      <c r="I39" s="24"/>
      <c r="J39" s="24"/>
      <c r="K39" s="24"/>
      <c r="L39" s="24"/>
      <c r="M39" s="24"/>
      <c r="N39" s="24"/>
      <c r="O39" s="24"/>
      <c r="P39" s="24"/>
      <c r="Q39" s="24"/>
      <c r="R39" s="24"/>
      <c r="S39" s="24"/>
      <c r="T39" s="24"/>
    </row>
    <row r="40" customFormat="false" ht="15" hidden="false" customHeight="false" outlineLevel="0" collapsed="false">
      <c r="A40" s="24"/>
      <c r="B40" s="24"/>
      <c r="C40" s="24"/>
      <c r="D40" s="24"/>
      <c r="E40" s="24"/>
      <c r="F40" s="24"/>
      <c r="G40" s="24"/>
      <c r="H40" s="24"/>
      <c r="I40" s="24"/>
      <c r="J40" s="24"/>
      <c r="K40" s="24"/>
      <c r="L40" s="24"/>
      <c r="M40" s="24"/>
      <c r="N40" s="24"/>
      <c r="O40" s="24"/>
      <c r="P40" s="24"/>
      <c r="Q40" s="24"/>
      <c r="R40" s="24"/>
      <c r="S40" s="24"/>
      <c r="T40" s="24"/>
    </row>
    <row r="41" customFormat="false" ht="15" hidden="false" customHeight="false" outlineLevel="0" collapsed="false">
      <c r="A41" s="24"/>
      <c r="B41" s="24"/>
      <c r="C41" s="24"/>
      <c r="D41" s="24"/>
      <c r="E41" s="24"/>
      <c r="F41" s="24"/>
      <c r="G41" s="24"/>
      <c r="H41" s="24"/>
      <c r="I41" s="24"/>
      <c r="J41" s="24"/>
      <c r="K41" s="24"/>
      <c r="L41" s="24"/>
      <c r="M41" s="24"/>
      <c r="N41" s="24"/>
      <c r="O41" s="24"/>
      <c r="P41" s="24"/>
      <c r="Q41" s="24"/>
      <c r="R41" s="24"/>
      <c r="S41" s="24"/>
      <c r="T41" s="24"/>
    </row>
    <row r="42" customFormat="false" ht="15" hidden="false" customHeight="false" outlineLevel="0" collapsed="false">
      <c r="A42" s="24"/>
      <c r="B42" s="24"/>
      <c r="C42" s="24"/>
      <c r="D42" s="24"/>
      <c r="E42" s="24"/>
      <c r="F42" s="24"/>
      <c r="G42" s="24"/>
      <c r="H42" s="24"/>
      <c r="I42" s="24"/>
      <c r="J42" s="24"/>
      <c r="K42" s="24"/>
      <c r="L42" s="24"/>
      <c r="M42" s="24"/>
      <c r="N42" s="24"/>
      <c r="O42" s="24"/>
      <c r="P42" s="24"/>
      <c r="Q42" s="24"/>
      <c r="R42" s="24"/>
      <c r="S42" s="24"/>
      <c r="T42" s="24"/>
    </row>
    <row r="43" customFormat="false" ht="15" hidden="false" customHeight="false" outlineLevel="0" collapsed="false">
      <c r="A43" s="24"/>
      <c r="B43" s="24"/>
      <c r="C43" s="24"/>
      <c r="D43" s="24"/>
      <c r="E43" s="24"/>
      <c r="F43" s="24"/>
      <c r="G43" s="24"/>
      <c r="H43" s="24"/>
      <c r="I43" s="24"/>
      <c r="J43" s="24"/>
      <c r="K43" s="24"/>
      <c r="L43" s="24"/>
      <c r="M43" s="24"/>
      <c r="N43" s="24"/>
      <c r="O43" s="24"/>
      <c r="P43" s="24"/>
      <c r="Q43" s="24"/>
      <c r="R43" s="24"/>
      <c r="S43" s="24"/>
      <c r="T43" s="24"/>
    </row>
    <row r="44" customFormat="false" ht="15" hidden="false" customHeight="false" outlineLevel="0" collapsed="false">
      <c r="A44" s="24"/>
      <c r="B44" s="24"/>
      <c r="C44" s="24"/>
      <c r="D44" s="24"/>
      <c r="E44" s="24"/>
      <c r="F44" s="24"/>
      <c r="G44" s="24"/>
      <c r="H44" s="24"/>
      <c r="I44" s="24"/>
      <c r="J44" s="24"/>
      <c r="K44" s="24"/>
      <c r="L44" s="24"/>
      <c r="M44" s="24"/>
      <c r="N44" s="24"/>
      <c r="O44" s="24"/>
      <c r="P44" s="24"/>
      <c r="Q44" s="24"/>
      <c r="R44" s="24"/>
      <c r="S44" s="24"/>
      <c r="T44" s="24"/>
    </row>
    <row r="45" customFormat="false" ht="15" hidden="false" customHeight="false" outlineLevel="0" collapsed="false">
      <c r="A45" s="24"/>
      <c r="B45" s="24"/>
      <c r="C45" s="24"/>
      <c r="D45" s="24"/>
      <c r="E45" s="24"/>
      <c r="F45" s="24"/>
      <c r="G45" s="24"/>
      <c r="H45" s="24"/>
      <c r="I45" s="24"/>
      <c r="J45" s="24"/>
      <c r="K45" s="24"/>
      <c r="L45" s="24"/>
      <c r="M45" s="24"/>
      <c r="N45" s="24"/>
      <c r="O45" s="24"/>
      <c r="P45" s="24"/>
      <c r="Q45" s="24"/>
      <c r="R45" s="24"/>
      <c r="S45" s="24"/>
      <c r="T45" s="24"/>
    </row>
    <row r="46" customFormat="false" ht="15" hidden="false" customHeight="false" outlineLevel="0" collapsed="false">
      <c r="A46" s="24"/>
      <c r="B46" s="24"/>
      <c r="C46" s="24"/>
      <c r="D46" s="24"/>
      <c r="E46" s="24"/>
      <c r="F46" s="24"/>
      <c r="G46" s="24"/>
      <c r="H46" s="24"/>
      <c r="I46" s="24"/>
      <c r="J46" s="24"/>
      <c r="K46" s="24"/>
      <c r="L46" s="24"/>
      <c r="M46" s="24"/>
      <c r="N46" s="24"/>
      <c r="O46" s="24"/>
      <c r="P46" s="24"/>
      <c r="Q46" s="24"/>
      <c r="R46" s="24"/>
      <c r="S46" s="24"/>
      <c r="T46" s="24"/>
    </row>
    <row r="47" customFormat="false" ht="15" hidden="false" customHeight="false" outlineLevel="0" collapsed="false">
      <c r="A47" s="24"/>
      <c r="B47" s="24"/>
      <c r="C47" s="24"/>
      <c r="D47" s="24"/>
      <c r="E47" s="24"/>
      <c r="F47" s="24"/>
      <c r="G47" s="24"/>
      <c r="H47" s="24"/>
      <c r="I47" s="24"/>
      <c r="J47" s="24"/>
      <c r="K47" s="24"/>
      <c r="L47" s="24"/>
      <c r="M47" s="24"/>
      <c r="N47" s="24"/>
      <c r="O47" s="24"/>
      <c r="P47" s="24"/>
      <c r="Q47" s="24"/>
      <c r="R47" s="24"/>
      <c r="S47" s="24"/>
      <c r="T47" s="24"/>
    </row>
    <row r="48" customFormat="false" ht="15" hidden="false" customHeight="false" outlineLevel="0" collapsed="false">
      <c r="A48" s="24"/>
      <c r="B48" s="24"/>
      <c r="C48" s="24"/>
      <c r="D48" s="24"/>
      <c r="E48" s="24"/>
      <c r="F48" s="24"/>
      <c r="G48" s="24"/>
      <c r="H48" s="24"/>
      <c r="I48" s="24"/>
      <c r="J48" s="24"/>
      <c r="K48" s="24"/>
      <c r="L48" s="24"/>
      <c r="M48" s="24"/>
      <c r="N48" s="24"/>
      <c r="O48" s="24"/>
      <c r="P48" s="24"/>
      <c r="Q48" s="24"/>
      <c r="R48" s="24"/>
      <c r="S48" s="24"/>
      <c r="T48" s="24"/>
    </row>
    <row r="49" customFormat="false" ht="15" hidden="false" customHeight="false" outlineLevel="0" collapsed="false">
      <c r="A49" s="24"/>
      <c r="B49" s="24"/>
      <c r="C49" s="24"/>
      <c r="D49" s="24"/>
      <c r="E49" s="24"/>
      <c r="F49" s="24"/>
      <c r="G49" s="24"/>
      <c r="H49" s="24"/>
      <c r="I49" s="24"/>
      <c r="J49" s="24"/>
      <c r="K49" s="24"/>
      <c r="L49" s="24"/>
      <c r="M49" s="24"/>
      <c r="N49" s="24"/>
      <c r="O49" s="24"/>
      <c r="P49" s="24"/>
      <c r="Q49" s="24"/>
      <c r="R49" s="24"/>
      <c r="S49" s="24"/>
      <c r="T49" s="24"/>
    </row>
    <row r="50" customFormat="false" ht="15" hidden="false" customHeight="true" outlineLevel="0" collapsed="false">
      <c r="A50" s="24"/>
      <c r="B50" s="24"/>
      <c r="C50" s="24"/>
      <c r="D50" s="24"/>
      <c r="E50" s="24"/>
      <c r="F50" s="24"/>
      <c r="G50" s="24"/>
      <c r="H50" s="24"/>
      <c r="I50" s="24"/>
      <c r="J50" s="24"/>
      <c r="K50" s="24"/>
      <c r="L50" s="34" t="s">
        <v>102</v>
      </c>
      <c r="M50" s="34"/>
      <c r="N50" s="34"/>
      <c r="O50" s="34"/>
      <c r="P50" s="34"/>
      <c r="Q50" s="34"/>
      <c r="R50" s="34"/>
      <c r="S50" s="34"/>
      <c r="T50" s="34"/>
    </row>
    <row r="51" customFormat="false" ht="15" hidden="false" customHeight="false" outlineLevel="0" collapsed="false">
      <c r="A51" s="24"/>
      <c r="B51" s="24"/>
      <c r="C51" s="24"/>
      <c r="D51" s="24"/>
      <c r="E51" s="24"/>
      <c r="F51" s="24"/>
      <c r="G51" s="24"/>
      <c r="H51" s="24"/>
      <c r="I51" s="24"/>
      <c r="J51" s="24"/>
      <c r="K51" s="24"/>
      <c r="L51" s="34"/>
      <c r="M51" s="34"/>
      <c r="N51" s="34"/>
      <c r="O51" s="34"/>
      <c r="P51" s="34"/>
      <c r="Q51" s="34"/>
      <c r="R51" s="34"/>
      <c r="S51" s="34"/>
      <c r="T51" s="34"/>
    </row>
    <row r="52" customFormat="false" ht="15" hidden="false" customHeight="false" outlineLevel="0" collapsed="false">
      <c r="A52" s="24"/>
      <c r="B52" s="24"/>
      <c r="C52" s="24"/>
      <c r="D52" s="24"/>
      <c r="E52" s="24"/>
      <c r="F52" s="24"/>
      <c r="G52" s="24"/>
      <c r="H52" s="24"/>
      <c r="I52" s="24"/>
      <c r="J52" s="24"/>
      <c r="K52" s="24"/>
      <c r="L52" s="34"/>
      <c r="M52" s="34"/>
      <c r="N52" s="34"/>
      <c r="O52" s="34"/>
      <c r="P52" s="34"/>
      <c r="Q52" s="34"/>
      <c r="R52" s="34"/>
      <c r="S52" s="34"/>
      <c r="T52" s="34"/>
    </row>
    <row r="53" customFormat="false" ht="15" hidden="false" customHeight="false" outlineLevel="0" collapsed="false">
      <c r="A53" s="24"/>
      <c r="B53" s="24"/>
      <c r="C53" s="24"/>
      <c r="D53" s="24"/>
      <c r="E53" s="24"/>
      <c r="F53" s="24"/>
      <c r="G53" s="24"/>
      <c r="H53" s="24"/>
      <c r="I53" s="24"/>
      <c r="J53" s="24"/>
      <c r="K53" s="24"/>
      <c r="L53" s="34"/>
      <c r="M53" s="34"/>
      <c r="N53" s="34"/>
      <c r="O53" s="34"/>
      <c r="P53" s="34"/>
      <c r="Q53" s="34"/>
      <c r="R53" s="34"/>
      <c r="S53" s="34"/>
      <c r="T53" s="34"/>
    </row>
    <row r="54" customFormat="false" ht="15" hidden="false" customHeight="false" outlineLevel="0" collapsed="false">
      <c r="A54" s="24"/>
      <c r="B54" s="24"/>
      <c r="C54" s="24"/>
      <c r="D54" s="24"/>
      <c r="E54" s="24"/>
      <c r="F54" s="24"/>
      <c r="G54" s="24"/>
      <c r="H54" s="24"/>
      <c r="I54" s="24"/>
      <c r="J54" s="24"/>
      <c r="K54" s="24"/>
      <c r="L54" s="34"/>
      <c r="M54" s="34"/>
      <c r="N54" s="34"/>
      <c r="O54" s="34"/>
      <c r="P54" s="34"/>
      <c r="Q54" s="34"/>
      <c r="R54" s="34"/>
      <c r="S54" s="34"/>
      <c r="T54" s="34"/>
    </row>
    <row r="55" customFormat="false" ht="15" hidden="false" customHeight="false" outlineLevel="0" collapsed="false">
      <c r="A55" s="24"/>
      <c r="B55" s="24"/>
      <c r="C55" s="24"/>
      <c r="D55" s="24"/>
      <c r="E55" s="24"/>
      <c r="F55" s="24"/>
      <c r="G55" s="24"/>
      <c r="H55" s="24"/>
      <c r="I55" s="24"/>
      <c r="J55" s="24"/>
      <c r="K55" s="24"/>
      <c r="L55" s="34"/>
      <c r="M55" s="34"/>
      <c r="N55" s="34"/>
      <c r="O55" s="34"/>
      <c r="P55" s="34"/>
      <c r="Q55" s="34"/>
      <c r="R55" s="34"/>
      <c r="S55" s="34"/>
      <c r="T55" s="34"/>
    </row>
    <row r="56" customFormat="false" ht="15" hidden="false" customHeight="false" outlineLevel="0" collapsed="false">
      <c r="A56" s="24"/>
      <c r="B56" s="24"/>
      <c r="C56" s="24"/>
      <c r="D56" s="24"/>
      <c r="E56" s="24"/>
      <c r="F56" s="24"/>
      <c r="G56" s="24"/>
      <c r="H56" s="24"/>
      <c r="I56" s="24"/>
      <c r="J56" s="24"/>
      <c r="K56" s="24"/>
      <c r="L56" s="34"/>
      <c r="M56" s="34"/>
      <c r="N56" s="34"/>
      <c r="O56" s="34"/>
      <c r="P56" s="34"/>
      <c r="Q56" s="34"/>
      <c r="R56" s="34"/>
      <c r="S56" s="34"/>
      <c r="T56" s="34"/>
    </row>
    <row r="57" customFormat="false" ht="15" hidden="false" customHeight="false" outlineLevel="0" collapsed="false">
      <c r="A57" s="24"/>
      <c r="B57" s="24"/>
      <c r="C57" s="24"/>
      <c r="D57" s="24"/>
      <c r="E57" s="24"/>
      <c r="F57" s="24"/>
      <c r="G57" s="24"/>
      <c r="H57" s="24"/>
      <c r="I57" s="24"/>
      <c r="J57" s="24"/>
      <c r="K57" s="24"/>
      <c r="L57" s="34"/>
      <c r="M57" s="34"/>
      <c r="N57" s="34"/>
      <c r="O57" s="34"/>
      <c r="P57" s="34"/>
      <c r="Q57" s="34"/>
      <c r="R57" s="34"/>
      <c r="S57" s="34"/>
      <c r="T57" s="34"/>
    </row>
    <row r="58" customFormat="false" ht="15" hidden="false" customHeight="false" outlineLevel="0" collapsed="false">
      <c r="A58" s="24"/>
      <c r="B58" s="24"/>
      <c r="C58" s="24"/>
      <c r="D58" s="24"/>
      <c r="E58" s="24"/>
      <c r="F58" s="24"/>
      <c r="G58" s="24"/>
      <c r="H58" s="24"/>
      <c r="I58" s="24"/>
      <c r="J58" s="24"/>
      <c r="K58" s="24"/>
      <c r="L58" s="34"/>
      <c r="M58" s="34"/>
      <c r="N58" s="34"/>
      <c r="O58" s="34"/>
      <c r="P58" s="34"/>
      <c r="Q58" s="34"/>
      <c r="R58" s="34"/>
      <c r="S58" s="34"/>
      <c r="T58" s="34"/>
    </row>
    <row r="59" customFormat="false" ht="15" hidden="false" customHeight="false" outlineLevel="0" collapsed="false">
      <c r="A59" s="24"/>
      <c r="B59" s="24"/>
      <c r="C59" s="24"/>
      <c r="D59" s="24"/>
      <c r="E59" s="24"/>
      <c r="F59" s="24"/>
      <c r="G59" s="24"/>
      <c r="H59" s="24"/>
      <c r="I59" s="24"/>
      <c r="J59" s="24"/>
      <c r="K59" s="24"/>
      <c r="L59" s="34"/>
      <c r="M59" s="34"/>
      <c r="N59" s="34"/>
      <c r="O59" s="34"/>
      <c r="P59" s="34"/>
      <c r="Q59" s="34"/>
      <c r="R59" s="34"/>
      <c r="S59" s="34"/>
      <c r="T59" s="34"/>
    </row>
    <row r="60" customFormat="false" ht="15" hidden="false" customHeight="false" outlineLevel="0" collapsed="false">
      <c r="A60" s="24"/>
      <c r="B60" s="24"/>
      <c r="C60" s="24"/>
      <c r="D60" s="24"/>
      <c r="E60" s="24"/>
      <c r="F60" s="24"/>
      <c r="G60" s="24"/>
      <c r="H60" s="24"/>
      <c r="I60" s="24"/>
      <c r="J60" s="24"/>
      <c r="K60" s="24"/>
      <c r="L60" s="34"/>
      <c r="M60" s="34"/>
      <c r="N60" s="34"/>
      <c r="O60" s="34"/>
      <c r="P60" s="34"/>
      <c r="Q60" s="34"/>
      <c r="R60" s="34"/>
      <c r="S60" s="34"/>
      <c r="T60" s="34"/>
    </row>
    <row r="61" customFormat="false" ht="15" hidden="false" customHeight="false" outlineLevel="0" collapsed="false">
      <c r="A61" s="24"/>
      <c r="B61" s="24"/>
      <c r="C61" s="24"/>
      <c r="D61" s="24"/>
      <c r="E61" s="24"/>
      <c r="F61" s="24"/>
      <c r="G61" s="24"/>
      <c r="H61" s="24"/>
      <c r="I61" s="24"/>
      <c r="J61" s="24"/>
      <c r="K61" s="24"/>
      <c r="L61" s="24"/>
      <c r="M61" s="24"/>
      <c r="N61" s="24"/>
      <c r="O61" s="24"/>
      <c r="P61" s="24"/>
      <c r="Q61" s="24"/>
      <c r="R61" s="24"/>
      <c r="S61" s="24"/>
      <c r="T61" s="24"/>
    </row>
    <row r="62" customFormat="false" ht="15" hidden="false" customHeight="true" outlineLevel="0" collapsed="false">
      <c r="A62" s="24"/>
      <c r="B62" s="35" t="s">
        <v>103</v>
      </c>
      <c r="C62" s="35"/>
      <c r="D62" s="35"/>
      <c r="E62" s="35"/>
      <c r="F62" s="35"/>
      <c r="G62" s="35"/>
      <c r="H62" s="35"/>
      <c r="I62" s="35"/>
      <c r="J62" s="35"/>
      <c r="K62" s="35"/>
      <c r="L62" s="35"/>
      <c r="M62" s="35"/>
      <c r="N62" s="35"/>
      <c r="O62" s="35"/>
      <c r="P62" s="35"/>
      <c r="Q62" s="24"/>
      <c r="R62" s="24"/>
      <c r="S62" s="24"/>
      <c r="T62" s="24"/>
    </row>
    <row r="63" customFormat="false" ht="15" hidden="false" customHeight="false" outlineLevel="0" collapsed="false">
      <c r="A63" s="24"/>
      <c r="B63" s="24"/>
      <c r="C63" s="24"/>
      <c r="D63" s="24"/>
      <c r="E63" s="24"/>
      <c r="F63" s="24"/>
      <c r="G63" s="24"/>
      <c r="H63" s="24"/>
      <c r="I63" s="24"/>
      <c r="J63" s="24"/>
      <c r="K63" s="24"/>
      <c r="L63" s="24"/>
      <c r="M63" s="24"/>
      <c r="N63" s="24"/>
      <c r="O63" s="24"/>
      <c r="P63" s="24"/>
      <c r="Q63" s="24"/>
      <c r="R63" s="24"/>
      <c r="S63" s="24"/>
      <c r="T63" s="24"/>
    </row>
    <row r="64" customFormat="false" ht="15" hidden="false" customHeight="false" outlineLevel="0" collapsed="false">
      <c r="A64" s="24"/>
      <c r="B64" s="24"/>
      <c r="C64" s="24"/>
      <c r="D64" s="24"/>
      <c r="E64" s="24"/>
      <c r="F64" s="24"/>
      <c r="G64" s="24"/>
      <c r="H64" s="24"/>
      <c r="I64" s="24"/>
      <c r="J64" s="24"/>
      <c r="K64" s="24"/>
      <c r="L64" s="24"/>
      <c r="M64" s="24"/>
      <c r="N64" s="24"/>
      <c r="O64" s="24"/>
      <c r="P64" s="24"/>
      <c r="Q64" s="24"/>
      <c r="R64" s="24"/>
      <c r="S64" s="24"/>
      <c r="T64" s="24"/>
    </row>
    <row r="65" customFormat="false" ht="15" hidden="false" customHeight="false" outlineLevel="0" collapsed="false">
      <c r="A65" s="24"/>
      <c r="B65" s="24"/>
      <c r="C65" s="24"/>
      <c r="D65" s="24"/>
      <c r="E65" s="24"/>
      <c r="F65" s="24"/>
      <c r="G65" s="24"/>
      <c r="H65" s="24"/>
      <c r="I65" s="24"/>
      <c r="J65" s="24"/>
      <c r="K65" s="24"/>
      <c r="L65" s="24"/>
      <c r="M65" s="24"/>
      <c r="N65" s="24"/>
      <c r="O65" s="24"/>
      <c r="P65" s="24"/>
      <c r="Q65" s="24"/>
      <c r="R65" s="24"/>
      <c r="S65" s="24"/>
      <c r="T65" s="24"/>
    </row>
    <row r="66" customFormat="false" ht="15" hidden="false" customHeight="false" outlineLevel="0" collapsed="false">
      <c r="A66" s="24"/>
      <c r="B66" s="24"/>
      <c r="C66" s="24"/>
      <c r="D66" s="24"/>
      <c r="E66" s="24"/>
      <c r="F66" s="24"/>
      <c r="G66" s="24"/>
      <c r="H66" s="24"/>
      <c r="I66" s="24"/>
      <c r="J66" s="24"/>
      <c r="K66" s="24"/>
      <c r="L66" s="24"/>
      <c r="M66" s="24"/>
      <c r="N66" s="24"/>
      <c r="O66" s="24"/>
      <c r="P66" s="24"/>
      <c r="Q66" s="24"/>
      <c r="R66" s="24"/>
      <c r="S66" s="24"/>
      <c r="T66" s="24"/>
    </row>
    <row r="67" customFormat="false" ht="15" hidden="false" customHeight="false" outlineLevel="0" collapsed="false">
      <c r="A67" s="24"/>
      <c r="B67" s="24"/>
      <c r="C67" s="24"/>
      <c r="D67" s="24"/>
      <c r="E67" s="24"/>
      <c r="F67" s="24"/>
      <c r="G67" s="24"/>
      <c r="H67" s="24"/>
      <c r="I67" s="24"/>
      <c r="J67" s="24"/>
      <c r="K67" s="24"/>
      <c r="L67" s="24"/>
      <c r="M67" s="24"/>
      <c r="N67" s="24"/>
      <c r="O67" s="24"/>
      <c r="P67" s="24"/>
      <c r="Q67" s="24"/>
      <c r="R67" s="24"/>
      <c r="S67" s="24"/>
      <c r="T67" s="24"/>
    </row>
    <row r="68" customFormat="false" ht="15" hidden="false" customHeight="false" outlineLevel="0" collapsed="false">
      <c r="A68" s="24"/>
      <c r="B68" s="24"/>
      <c r="C68" s="24"/>
      <c r="D68" s="24"/>
      <c r="E68" s="24"/>
      <c r="F68" s="24"/>
      <c r="G68" s="24"/>
      <c r="H68" s="24"/>
      <c r="I68" s="24"/>
      <c r="J68" s="24"/>
      <c r="K68" s="24"/>
      <c r="L68" s="24"/>
      <c r="M68" s="24"/>
      <c r="N68" s="24"/>
      <c r="O68" s="24"/>
      <c r="P68" s="24"/>
      <c r="Q68" s="24"/>
      <c r="R68" s="24"/>
      <c r="S68" s="24"/>
      <c r="T68" s="24"/>
    </row>
    <row r="69" customFormat="false" ht="15" hidden="false" customHeight="false" outlineLevel="0" collapsed="false">
      <c r="A69" s="24"/>
      <c r="B69" s="24"/>
      <c r="C69" s="24"/>
      <c r="D69" s="24"/>
      <c r="E69" s="24"/>
      <c r="F69" s="24"/>
      <c r="G69" s="24"/>
      <c r="H69" s="24"/>
      <c r="I69" s="24"/>
      <c r="J69" s="24"/>
      <c r="K69" s="24"/>
      <c r="L69" s="24"/>
      <c r="M69" s="24"/>
      <c r="N69" s="24"/>
      <c r="O69" s="24"/>
      <c r="P69" s="24"/>
      <c r="Q69" s="24"/>
      <c r="R69" s="24"/>
      <c r="S69" s="24"/>
      <c r="T69" s="24"/>
    </row>
    <row r="70" customFormat="false" ht="15" hidden="false" customHeight="false" outlineLevel="0" collapsed="false">
      <c r="A70" s="24"/>
      <c r="B70" s="24"/>
      <c r="C70" s="24"/>
      <c r="D70" s="24"/>
      <c r="E70" s="24"/>
      <c r="F70" s="24"/>
      <c r="G70" s="24"/>
      <c r="H70" s="24"/>
      <c r="I70" s="24"/>
      <c r="J70" s="24"/>
      <c r="K70" s="24"/>
      <c r="L70" s="24"/>
      <c r="M70" s="24"/>
      <c r="N70" s="24"/>
      <c r="O70" s="24"/>
      <c r="P70" s="24"/>
      <c r="Q70" s="24"/>
      <c r="R70" s="24"/>
      <c r="S70" s="24"/>
      <c r="T70" s="24"/>
    </row>
    <row r="71" customFormat="false" ht="15" hidden="false" customHeight="false" outlineLevel="0" collapsed="false">
      <c r="A71" s="24"/>
      <c r="B71" s="24"/>
      <c r="C71" s="24"/>
      <c r="D71" s="24"/>
      <c r="E71" s="24"/>
      <c r="F71" s="24"/>
      <c r="G71" s="24"/>
      <c r="H71" s="24"/>
      <c r="I71" s="24"/>
      <c r="J71" s="24"/>
      <c r="K71" s="24"/>
      <c r="L71" s="24"/>
      <c r="M71" s="24"/>
      <c r="N71" s="24"/>
      <c r="O71" s="24"/>
      <c r="P71" s="24"/>
      <c r="Q71" s="24"/>
      <c r="R71" s="24"/>
      <c r="S71" s="24"/>
      <c r="T71" s="24"/>
    </row>
    <row r="72" customFormat="false" ht="15" hidden="false" customHeight="false" outlineLevel="0" collapsed="false">
      <c r="A72" s="24"/>
      <c r="B72" s="24"/>
      <c r="C72" s="24"/>
      <c r="D72" s="24"/>
      <c r="E72" s="24"/>
      <c r="F72" s="24"/>
      <c r="G72" s="24"/>
      <c r="H72" s="24"/>
      <c r="I72" s="24"/>
      <c r="J72" s="24"/>
      <c r="K72" s="24"/>
      <c r="L72" s="24"/>
      <c r="M72" s="24"/>
      <c r="N72" s="24"/>
      <c r="O72" s="24"/>
      <c r="P72" s="24"/>
      <c r="Q72" s="24"/>
      <c r="R72" s="24"/>
      <c r="S72" s="24"/>
      <c r="T72" s="24"/>
    </row>
    <row r="73" customFormat="false" ht="15" hidden="false" customHeight="false" outlineLevel="0" collapsed="false">
      <c r="A73" s="24"/>
      <c r="B73" s="24"/>
      <c r="C73" s="24"/>
      <c r="D73" s="24"/>
      <c r="E73" s="24"/>
      <c r="F73" s="24"/>
      <c r="G73" s="24"/>
      <c r="H73" s="24"/>
      <c r="I73" s="24"/>
      <c r="J73" s="24"/>
      <c r="K73" s="24"/>
      <c r="L73" s="24"/>
      <c r="M73" s="24"/>
      <c r="N73" s="24"/>
      <c r="O73" s="24"/>
      <c r="P73" s="24"/>
      <c r="Q73" s="24"/>
      <c r="R73" s="24"/>
      <c r="S73" s="24"/>
      <c r="T73" s="24"/>
    </row>
    <row r="74" customFormat="false" ht="15" hidden="false" customHeight="false" outlineLevel="0" collapsed="false">
      <c r="A74" s="24"/>
      <c r="B74" s="24"/>
      <c r="C74" s="24"/>
      <c r="D74" s="24"/>
      <c r="E74" s="24"/>
      <c r="F74" s="24"/>
      <c r="G74" s="24"/>
      <c r="H74" s="24"/>
      <c r="I74" s="24"/>
      <c r="J74" s="24"/>
      <c r="K74" s="24"/>
      <c r="L74" s="24"/>
      <c r="M74" s="24"/>
      <c r="N74" s="24"/>
      <c r="O74" s="24"/>
      <c r="P74" s="24"/>
      <c r="Q74" s="24"/>
      <c r="R74" s="24"/>
      <c r="S74" s="24"/>
      <c r="T74" s="24"/>
    </row>
    <row r="75" customFormat="false" ht="15" hidden="false" customHeight="false" outlineLevel="0" collapsed="false">
      <c r="A75" s="24"/>
      <c r="B75" s="24"/>
      <c r="C75" s="24"/>
      <c r="D75" s="24"/>
      <c r="E75" s="24"/>
      <c r="F75" s="24"/>
      <c r="G75" s="24"/>
      <c r="H75" s="24"/>
      <c r="I75" s="24"/>
      <c r="J75" s="24"/>
      <c r="K75" s="24"/>
      <c r="L75" s="24"/>
      <c r="M75" s="24"/>
      <c r="N75" s="24"/>
      <c r="O75" s="24"/>
      <c r="P75" s="24"/>
      <c r="Q75" s="24"/>
      <c r="R75" s="24"/>
      <c r="S75" s="24"/>
      <c r="T75" s="24"/>
    </row>
    <row r="76" customFormat="false" ht="15" hidden="false" customHeight="false" outlineLevel="0" collapsed="false">
      <c r="A76" s="24"/>
      <c r="B76" s="24"/>
      <c r="C76" s="24"/>
      <c r="D76" s="24"/>
      <c r="E76" s="24"/>
      <c r="F76" s="24"/>
      <c r="G76" s="24"/>
      <c r="H76" s="24"/>
      <c r="I76" s="24"/>
      <c r="J76" s="24"/>
      <c r="K76" s="24"/>
      <c r="L76" s="24"/>
      <c r="M76" s="24"/>
      <c r="N76" s="24"/>
      <c r="O76" s="24"/>
      <c r="P76" s="24"/>
      <c r="Q76" s="24"/>
      <c r="R76" s="24"/>
      <c r="S76" s="24"/>
      <c r="T76" s="24"/>
    </row>
    <row r="77" customFormat="false" ht="15" hidden="false" customHeight="false" outlineLevel="0" collapsed="false">
      <c r="A77" s="24"/>
      <c r="B77" s="24"/>
      <c r="C77" s="24"/>
      <c r="D77" s="24"/>
      <c r="E77" s="24"/>
      <c r="F77" s="24"/>
      <c r="G77" s="24"/>
      <c r="H77" s="24"/>
      <c r="I77" s="24"/>
      <c r="J77" s="24"/>
      <c r="K77" s="24"/>
      <c r="L77" s="24"/>
      <c r="M77" s="24"/>
      <c r="N77" s="24"/>
      <c r="O77" s="24"/>
      <c r="P77" s="24"/>
      <c r="Q77" s="24"/>
      <c r="R77" s="24"/>
      <c r="S77" s="24"/>
      <c r="T77" s="24"/>
    </row>
    <row r="78" customFormat="false" ht="15" hidden="false" customHeight="false" outlineLevel="0" collapsed="false">
      <c r="A78" s="24"/>
      <c r="B78" s="24"/>
      <c r="C78" s="24"/>
      <c r="D78" s="24"/>
      <c r="E78" s="24"/>
      <c r="F78" s="24"/>
      <c r="G78" s="24"/>
      <c r="H78" s="24"/>
      <c r="I78" s="24"/>
      <c r="J78" s="24"/>
      <c r="K78" s="24"/>
      <c r="L78" s="24"/>
      <c r="M78" s="24"/>
      <c r="N78" s="24"/>
      <c r="O78" s="24"/>
      <c r="P78" s="24"/>
      <c r="Q78" s="24"/>
      <c r="R78" s="24"/>
      <c r="S78" s="24"/>
      <c r="T78" s="24"/>
    </row>
  </sheetData>
  <sheetProtection sheet="true" password="df18" formatCells="false" formatColumns="false" formatRows="false" insertRows="false" deleteRows="false" sort="false" autoFilter="false"/>
  <mergeCells count="22">
    <mergeCell ref="B1:P1"/>
    <mergeCell ref="B2:P2"/>
    <mergeCell ref="B4:E4"/>
    <mergeCell ref="G4:J4"/>
    <mergeCell ref="L4:O4"/>
    <mergeCell ref="Q4:T4"/>
    <mergeCell ref="B5:E6"/>
    <mergeCell ref="G5:J6"/>
    <mergeCell ref="L5:O6"/>
    <mergeCell ref="Q5:T6"/>
    <mergeCell ref="B8:E8"/>
    <mergeCell ref="G8:J8"/>
    <mergeCell ref="L8:O8"/>
    <mergeCell ref="Q8:T8"/>
    <mergeCell ref="B9:E10"/>
    <mergeCell ref="G9:J10"/>
    <mergeCell ref="L9:O10"/>
    <mergeCell ref="Q9:R10"/>
    <mergeCell ref="S9:T10"/>
    <mergeCell ref="Q11:T11"/>
    <mergeCell ref="L50:T60"/>
    <mergeCell ref="B62:P62"/>
  </mergeCells>
  <conditionalFormatting sqref="Q9:R10">
    <cfRule type="expression" priority="2" aboveAverage="0" equalAverage="0" bottom="0" percent="0" rank="0" text="" dxfId="0">
      <formula>$Q$9&gt;=0.9</formula>
    </cfRule>
    <cfRule type="expression" priority="3" aboveAverage="0" equalAverage="0" bottom="0" percent="0" rank="0" text="" dxfId="1">
      <formula>$Q$9&gt;=0.7</formula>
    </cfRule>
    <cfRule type="expression" priority="4" aboveAverage="0" equalAverage="0" bottom="0" percent="0" rank="0" text="" dxfId="2">
      <formula>$Q$9&lt;0.7</formula>
    </cfRule>
  </conditionalFormatting>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K322"/>
  <sheetViews>
    <sheetView showFormulas="false" showGridLines="false" showRowColHeaders="true" showZeros="true" rightToLeft="false" tabSelected="false" showOutlineSymbols="true" defaultGridColor="true" view="normal" topLeftCell="A1" colorId="64" zoomScale="80" zoomScaleNormal="80" zoomScalePageLayoutView="100" workbookViewId="0">
      <pane xSplit="2" ySplit="2" topLeftCell="C3" activePane="bottomRight" state="frozen"/>
      <selection pane="topLeft" activeCell="A1" activeCellId="0" sqref="A1"/>
      <selection pane="topRight" activeCell="C1" activeCellId="0" sqref="C1"/>
      <selection pane="bottomLeft" activeCell="A3" activeCellId="0" sqref="A3"/>
      <selection pane="bottomRight" activeCell="A1" activeCellId="0" sqref="A1"/>
    </sheetView>
  </sheetViews>
  <sheetFormatPr defaultColWidth="8.6796875" defaultRowHeight="15" zeroHeight="false" outlineLevelRow="0" outlineLevelCol="0"/>
  <cols>
    <col collapsed="false" customWidth="true" hidden="false" outlineLevel="0" max="1" min="1" style="0" width="9"/>
    <col collapsed="false" customWidth="true" hidden="false" outlineLevel="0" max="3" min="2" style="0" width="26"/>
    <col collapsed="false" customWidth="true" hidden="false" outlineLevel="0" max="4" min="4" style="0" width="12"/>
    <col collapsed="false" customWidth="true" hidden="false" outlineLevel="0" max="5" min="5" style="0" width="11"/>
    <col collapsed="false" customWidth="true" hidden="false" outlineLevel="0" max="6" min="6" style="0" width="10"/>
    <col collapsed="false" customWidth="true" hidden="false" outlineLevel="0" max="7" min="7" style="0" width="21"/>
    <col collapsed="false" customWidth="true" hidden="false" outlineLevel="0" max="8" min="8" style="0" width="24"/>
    <col collapsed="false" customWidth="true" hidden="false" outlineLevel="0" max="9" min="9" style="0" width="22"/>
    <col collapsed="false" customWidth="true" hidden="false" outlineLevel="0" max="10" min="10" style="0" width="10"/>
    <col collapsed="false" customWidth="true" hidden="false" outlineLevel="0" max="11" min="11" style="0" width="25"/>
    <col collapsed="false" customWidth="true" hidden="false" outlineLevel="0" max="12" min="12" style="0" width="27"/>
    <col collapsed="false" customWidth="true" hidden="false" outlineLevel="0" max="13" min="13" style="0" width="16"/>
    <col collapsed="false" customWidth="true" hidden="false" outlineLevel="0" max="14" min="14" style="0" width="17"/>
    <col collapsed="false" customWidth="true" hidden="false" outlineLevel="0" max="16" min="15" style="0" width="11"/>
    <col collapsed="false" customWidth="true" hidden="false" outlineLevel="0" max="17" min="17" style="0" width="12"/>
    <col collapsed="false" customWidth="true" hidden="false" outlineLevel="0" max="18" min="18" style="0" width="10"/>
    <col collapsed="false" customWidth="true" hidden="false" outlineLevel="0" max="19" min="19" style="0" width="12"/>
    <col collapsed="false" customWidth="true" hidden="false" outlineLevel="0" max="23" min="20" style="0" width="19"/>
    <col collapsed="false" customWidth="true" hidden="false" outlineLevel="0" max="25" min="24" style="0" width="24"/>
    <col collapsed="false" customWidth="true" hidden="false" outlineLevel="0" max="26" min="26" style="0" width="28"/>
    <col collapsed="false" customWidth="true" hidden="false" outlineLevel="0" max="27" min="27" style="0" width="13"/>
    <col collapsed="false" customWidth="true" hidden="false" outlineLevel="0" max="28" min="28" style="0" width="9"/>
    <col collapsed="false" customWidth="true" hidden="false" outlineLevel="0" max="29" min="29" style="0" width="11"/>
    <col collapsed="false" customWidth="true" hidden="false" outlineLevel="0" max="30" min="30" style="0" width="13"/>
    <col collapsed="false" customWidth="true" hidden="false" outlineLevel="0" max="31" min="31" style="0" width="11"/>
    <col collapsed="false" customWidth="true" hidden="false" outlineLevel="0" max="32" min="32" style="0" width="15"/>
    <col collapsed="false" customWidth="true" hidden="false" outlineLevel="0" max="33" min="33" style="0" width="12"/>
    <col collapsed="false" customWidth="true" hidden="false" outlineLevel="0" max="34" min="34" style="0" width="13"/>
    <col collapsed="false" customWidth="true" hidden="false" outlineLevel="0" max="35" min="35" style="0" width="9"/>
    <col collapsed="false" customWidth="true" hidden="false" outlineLevel="0" max="36" min="36" style="0" width="14"/>
    <col collapsed="false" customWidth="true" hidden="false" outlineLevel="0" max="37" min="37" style="0" width="15"/>
    <col collapsed="false" customWidth="true" hidden="false" outlineLevel="0" max="38" min="38" style="0" width="30"/>
    <col collapsed="false" customWidth="true" hidden="false" outlineLevel="0" max="40" min="39" style="0" width="13"/>
    <col collapsed="false" customWidth="true" hidden="false" outlineLevel="0" max="41" min="41" style="0" width="30"/>
    <col collapsed="false" customWidth="true" hidden="false" outlineLevel="0" max="43" min="42" style="0" width="13"/>
    <col collapsed="false" customWidth="true" hidden="false" outlineLevel="0" max="44" min="44" style="0" width="30"/>
    <col collapsed="false" customWidth="true" hidden="false" outlineLevel="0" max="45" min="45" style="0" width="26"/>
    <col collapsed="false" customWidth="true" hidden="false" outlineLevel="0" max="46" min="46" style="0" width="28"/>
    <col collapsed="false" customWidth="true" hidden="false" outlineLevel="0" max="47" min="47" style="0" width="13"/>
    <col collapsed="false" customWidth="true" hidden="false" outlineLevel="0" max="48" min="48" style="0" width="34"/>
    <col collapsed="false" customWidth="true" hidden="false" outlineLevel="0" max="49" min="49" style="0" width="9"/>
    <col collapsed="false" customWidth="true" hidden="false" outlineLevel="0" max="50" min="50" style="0" width="10"/>
    <col collapsed="false" customWidth="true" hidden="false" outlineLevel="0" max="51" min="51" style="0" width="9"/>
    <col collapsed="false" customWidth="true" hidden="false" outlineLevel="0" max="53" min="52" style="0" width="10"/>
    <col collapsed="false" customWidth="true" hidden="false" outlineLevel="0" max="54" min="54" style="0" width="13"/>
    <col collapsed="false" customWidth="true" hidden="false" outlineLevel="0" max="55" min="55" style="0" width="32"/>
    <col collapsed="false" customWidth="true" hidden="false" outlineLevel="0" max="56" min="56" style="0" width="15"/>
    <col collapsed="false" customWidth="true" hidden="false" outlineLevel="0" max="57" min="57" style="0" width="12"/>
    <col collapsed="false" customWidth="true" hidden="false" outlineLevel="0" max="58" min="58" style="0" width="11"/>
    <col collapsed="false" customWidth="true" hidden="false" outlineLevel="0" max="61" min="59" style="0" width="12"/>
    <col collapsed="false" customWidth="true" hidden="false" outlineLevel="0" max="62" min="62" style="0" width="15"/>
    <col collapsed="false" customWidth="true" hidden="false" outlineLevel="0" max="63" min="63" style="0" width="36"/>
  </cols>
  <sheetData>
    <row r="1" customFormat="false" ht="19.5" hidden="false" customHeight="true" outlineLevel="0" collapsed="false">
      <c r="A1" s="36" t="s">
        <v>104</v>
      </c>
      <c r="B1" s="36"/>
      <c r="C1" s="36"/>
      <c r="D1" s="36"/>
      <c r="E1" s="36"/>
      <c r="F1" s="36"/>
      <c r="G1" s="36"/>
      <c r="H1" s="36"/>
      <c r="I1" s="37" t="s">
        <v>105</v>
      </c>
      <c r="J1" s="37"/>
      <c r="K1" s="37"/>
      <c r="L1" s="37"/>
      <c r="M1" s="37"/>
      <c r="N1" s="38" t="s">
        <v>106</v>
      </c>
      <c r="O1" s="38"/>
      <c r="P1" s="38"/>
      <c r="Q1" s="38"/>
      <c r="R1" s="38"/>
      <c r="S1" s="38"/>
      <c r="T1" s="8" t="s">
        <v>107</v>
      </c>
      <c r="U1" s="8"/>
      <c r="V1" s="8"/>
      <c r="W1" s="8"/>
      <c r="X1" s="8"/>
      <c r="Y1" s="8"/>
      <c r="Z1" s="8"/>
      <c r="AA1" s="8"/>
      <c r="AB1" s="8"/>
      <c r="AC1" s="8"/>
      <c r="AD1" s="8"/>
      <c r="AE1" s="8"/>
      <c r="AF1" s="8"/>
      <c r="AG1" s="39" t="s">
        <v>108</v>
      </c>
      <c r="AH1" s="39"/>
      <c r="AI1" s="39"/>
      <c r="AJ1" s="39"/>
      <c r="AK1" s="39"/>
      <c r="AL1" s="39"/>
      <c r="AM1" s="39"/>
      <c r="AN1" s="39"/>
      <c r="AO1" s="40" t="s">
        <v>109</v>
      </c>
      <c r="AP1" s="40"/>
      <c r="AQ1" s="40"/>
      <c r="AR1" s="40"/>
      <c r="AS1" s="40"/>
      <c r="AT1" s="40"/>
      <c r="AU1" s="40"/>
      <c r="AV1" s="40"/>
      <c r="AW1" s="41" t="s">
        <v>110</v>
      </c>
      <c r="AX1" s="41"/>
      <c r="AY1" s="41"/>
      <c r="AZ1" s="41"/>
      <c r="BA1" s="41"/>
      <c r="BB1" s="41"/>
      <c r="BC1" s="41"/>
      <c r="BD1" s="41"/>
      <c r="BE1" s="41"/>
      <c r="BF1" s="41"/>
      <c r="BG1" s="41"/>
      <c r="BH1" s="42" t="s">
        <v>111</v>
      </c>
      <c r="BI1" s="42"/>
      <c r="BJ1" s="42"/>
      <c r="BK1" s="42"/>
    </row>
    <row r="2" customFormat="false" ht="36" hidden="false" customHeight="true" outlineLevel="0" collapsed="false">
      <c r="A2" s="43" t="s">
        <v>112</v>
      </c>
      <c r="B2" s="43" t="s">
        <v>113</v>
      </c>
      <c r="C2" s="43" t="s">
        <v>114</v>
      </c>
      <c r="D2" s="43" t="s">
        <v>115</v>
      </c>
      <c r="E2" s="43" t="s">
        <v>116</v>
      </c>
      <c r="F2" s="43" t="s">
        <v>117</v>
      </c>
      <c r="G2" s="43" t="s">
        <v>118</v>
      </c>
      <c r="H2" s="43" t="s">
        <v>119</v>
      </c>
      <c r="I2" s="44" t="s">
        <v>120</v>
      </c>
      <c r="J2" s="44" t="s">
        <v>121</v>
      </c>
      <c r="K2" s="44" t="s">
        <v>122</v>
      </c>
      <c r="L2" s="44" t="s">
        <v>123</v>
      </c>
      <c r="M2" s="44" t="s">
        <v>124</v>
      </c>
      <c r="N2" s="45" t="s">
        <v>125</v>
      </c>
      <c r="O2" s="45" t="s">
        <v>126</v>
      </c>
      <c r="P2" s="45" t="s">
        <v>127</v>
      </c>
      <c r="Q2" s="45" t="s">
        <v>128</v>
      </c>
      <c r="R2" s="45" t="s">
        <v>129</v>
      </c>
      <c r="S2" s="45" t="s">
        <v>130</v>
      </c>
      <c r="T2" s="14" t="s">
        <v>131</v>
      </c>
      <c r="U2" s="14" t="s">
        <v>132</v>
      </c>
      <c r="V2" s="14" t="s">
        <v>133</v>
      </c>
      <c r="W2" s="14" t="s">
        <v>134</v>
      </c>
      <c r="X2" s="14" t="s">
        <v>135</v>
      </c>
      <c r="Y2" s="14" t="s">
        <v>136</v>
      </c>
      <c r="Z2" s="14" t="s">
        <v>137</v>
      </c>
      <c r="AA2" s="14" t="s">
        <v>138</v>
      </c>
      <c r="AB2" s="14" t="s">
        <v>139</v>
      </c>
      <c r="AC2" s="14" t="s">
        <v>140</v>
      </c>
      <c r="AD2" s="14" t="s">
        <v>141</v>
      </c>
      <c r="AE2" s="14" t="s">
        <v>142</v>
      </c>
      <c r="AF2" s="14" t="s">
        <v>143</v>
      </c>
      <c r="AG2" s="46" t="s">
        <v>144</v>
      </c>
      <c r="AH2" s="46" t="s">
        <v>145</v>
      </c>
      <c r="AI2" s="46" t="s">
        <v>146</v>
      </c>
      <c r="AJ2" s="46" t="s">
        <v>147</v>
      </c>
      <c r="AK2" s="46" t="s">
        <v>148</v>
      </c>
      <c r="AL2" s="46" t="s">
        <v>149</v>
      </c>
      <c r="AM2" s="46" t="s">
        <v>150</v>
      </c>
      <c r="AN2" s="46" t="s">
        <v>151</v>
      </c>
      <c r="AO2" s="47" t="s">
        <v>152</v>
      </c>
      <c r="AP2" s="47" t="s">
        <v>153</v>
      </c>
      <c r="AQ2" s="47" t="s">
        <v>154</v>
      </c>
      <c r="AR2" s="47" t="s">
        <v>155</v>
      </c>
      <c r="AS2" s="47" t="s">
        <v>156</v>
      </c>
      <c r="AT2" s="47" t="s">
        <v>157</v>
      </c>
      <c r="AU2" s="47" t="s">
        <v>158</v>
      </c>
      <c r="AV2" s="47" t="s">
        <v>159</v>
      </c>
      <c r="AW2" s="15" t="s">
        <v>160</v>
      </c>
      <c r="AX2" s="15" t="s">
        <v>161</v>
      </c>
      <c r="AY2" s="15" t="s">
        <v>162</v>
      </c>
      <c r="AZ2" s="15" t="s">
        <v>163</v>
      </c>
      <c r="BA2" s="15" t="s">
        <v>164</v>
      </c>
      <c r="BB2" s="15" t="s">
        <v>165</v>
      </c>
      <c r="BC2" s="15" t="s">
        <v>166</v>
      </c>
      <c r="BD2" s="15" t="s">
        <v>167</v>
      </c>
      <c r="BE2" s="15" t="s">
        <v>168</v>
      </c>
      <c r="BF2" s="15" t="s">
        <v>169</v>
      </c>
      <c r="BG2" s="15" t="s">
        <v>170</v>
      </c>
      <c r="BH2" s="48" t="s">
        <v>171</v>
      </c>
      <c r="BI2" s="48" t="s">
        <v>172</v>
      </c>
      <c r="BJ2" s="48" t="s">
        <v>173</v>
      </c>
      <c r="BK2" s="48" t="s">
        <v>174</v>
      </c>
    </row>
    <row r="3" customFormat="false" ht="22.35" hidden="false" customHeight="false" outlineLevel="0" collapsed="false">
      <c r="A3" s="49" t="str">
        <f aca="false">IF(B3="","","PC-"&amp;TEXT(ROW()-2,"000"))</f>
        <v>PC-001</v>
      </c>
      <c r="B3" s="50" t="s">
        <v>175</v>
      </c>
      <c r="C3" s="50" t="s">
        <v>176</v>
      </c>
      <c r="D3" s="51" t="s">
        <v>177</v>
      </c>
      <c r="E3" s="51" t="s">
        <v>178</v>
      </c>
      <c r="F3" s="51" t="s">
        <v>179</v>
      </c>
      <c r="G3" s="50" t="s">
        <v>180</v>
      </c>
      <c r="H3" s="50" t="s">
        <v>181</v>
      </c>
      <c r="I3" s="50" t="s">
        <v>182</v>
      </c>
      <c r="J3" s="51" t="s">
        <v>183</v>
      </c>
      <c r="K3" s="50" t="s">
        <v>184</v>
      </c>
      <c r="L3" s="50" t="s">
        <v>185</v>
      </c>
      <c r="M3" s="50" t="s">
        <v>186</v>
      </c>
      <c r="N3" s="50" t="s">
        <v>187</v>
      </c>
      <c r="O3" s="52" t="n">
        <v>25</v>
      </c>
      <c r="P3" s="50" t="s">
        <v>188</v>
      </c>
      <c r="Q3" s="52" t="n">
        <v>100</v>
      </c>
      <c r="R3" s="52" t="n">
        <v>10</v>
      </c>
      <c r="S3" s="49" t="str">
        <f aca="false">IF(B3="","",IF(OR(O3="",R3=""),"—",IF(O3&lt;=R3,"⚠ RÉAPPRO","OK")))</f>
        <v>OK</v>
      </c>
      <c r="T3" s="50" t="s">
        <v>189</v>
      </c>
      <c r="U3" s="50" t="s">
        <v>190</v>
      </c>
      <c r="V3" s="50"/>
      <c r="W3" s="50"/>
      <c r="X3" s="50" t="s">
        <v>191</v>
      </c>
      <c r="Y3" s="53" t="str">
        <f aca="false">IF(B3="","",IF(X3="","—",IF(X3="Non classé","Non classé",IFERROR(INDEX(RefH_Classe,MATCH(TRIM(LEFT(X3,FIND(",",X3&amp;",")-1)),RefH_Code,0)),"Code H inconnu"))))</f>
        <v>Inflammabilité</v>
      </c>
      <c r="Z3" s="50" t="s">
        <v>192</v>
      </c>
      <c r="AA3" s="50" t="s">
        <v>193</v>
      </c>
      <c r="AB3" s="51" t="s">
        <v>194</v>
      </c>
      <c r="AC3" s="51" t="s">
        <v>195</v>
      </c>
      <c r="AD3" s="51" t="s">
        <v>194</v>
      </c>
      <c r="AE3" s="51" t="s">
        <v>196</v>
      </c>
      <c r="AF3" s="50" t="s">
        <v>197</v>
      </c>
      <c r="AG3" s="51" t="s">
        <v>198</v>
      </c>
      <c r="AH3" s="54" t="n">
        <v>45366</v>
      </c>
      <c r="AI3" s="51" t="s">
        <v>199</v>
      </c>
      <c r="AJ3" s="55" t="n">
        <f aca="false">IF(AH3="","",EDATE(AH3,60))</f>
        <v>47192</v>
      </c>
      <c r="AK3" s="49" t="str">
        <f aca="true">IF(B3="","",IF(OR(AG3="Non",AH3=""),"FDS ABSENTE",IF(TODAY()&gt;=EDATE(AH3,60),"EXPIRÉE",IF(TODAY()&gt;=EDATE(AH3,54),"À RENOUVELER","CONFORME"))))</f>
        <v>CONFORME</v>
      </c>
      <c r="AL3" s="50" t="s">
        <v>200</v>
      </c>
      <c r="AM3" s="54"/>
      <c r="AN3" s="54"/>
      <c r="AO3" s="50" t="s">
        <v>201</v>
      </c>
      <c r="AP3" s="50" t="s">
        <v>202</v>
      </c>
      <c r="AQ3" s="50" t="s">
        <v>203</v>
      </c>
      <c r="AR3" s="50" t="s">
        <v>204</v>
      </c>
      <c r="AS3" s="50" t="s">
        <v>205</v>
      </c>
      <c r="AT3" s="50" t="s">
        <v>206</v>
      </c>
      <c r="AU3" s="50" t="s">
        <v>207</v>
      </c>
      <c r="AV3" s="50" t="s">
        <v>208</v>
      </c>
      <c r="AW3" s="52" t="n">
        <v>3</v>
      </c>
      <c r="AX3" s="52" t="n">
        <v>3</v>
      </c>
      <c r="AY3" s="56" t="n">
        <f aca="false">IF(OR(AW3="",AX3=""),"",AW3*AX3)</f>
        <v>9</v>
      </c>
      <c r="AZ3" s="52" t="n">
        <v>3</v>
      </c>
      <c r="BA3" s="56" t="n">
        <f aca="false">IF(AY3="","",IF(AZ3="",AY3,ROUNDUP(AY3/AZ3,0)))</f>
        <v>3</v>
      </c>
      <c r="BB3" s="49" t="str">
        <f aca="false">IF(BA3="","",IF(BA3&gt;=15,"P1 – Critique",IF(BA3&gt;=8,"P2 – Élevée",IF(BA3&gt;=4,"P3 – Modérée","P4 – Faible"))))</f>
        <v>P4 – Faible</v>
      </c>
      <c r="BC3" s="50"/>
      <c r="BD3" s="50"/>
      <c r="BE3" s="54"/>
      <c r="BF3" s="57"/>
      <c r="BG3" s="50"/>
      <c r="BH3" s="54" t="n">
        <v>45901</v>
      </c>
      <c r="BI3" s="54" t="n">
        <v>46183</v>
      </c>
      <c r="BJ3" s="50" t="s">
        <v>209</v>
      </c>
      <c r="BK3" s="50" t="s">
        <v>210</v>
      </c>
    </row>
    <row r="4" customFormat="false" ht="32.8" hidden="false" customHeight="false" outlineLevel="0" collapsed="false">
      <c r="A4" s="49" t="str">
        <f aca="false">IF(B4="","","PC-"&amp;TEXT(ROW()-2,"000"))</f>
        <v>PC-002</v>
      </c>
      <c r="B4" s="50" t="s">
        <v>211</v>
      </c>
      <c r="C4" s="50" t="s">
        <v>212</v>
      </c>
      <c r="D4" s="51" t="s">
        <v>213</v>
      </c>
      <c r="E4" s="51" t="s">
        <v>214</v>
      </c>
      <c r="F4" s="51" t="s">
        <v>215</v>
      </c>
      <c r="G4" s="50" t="s">
        <v>216</v>
      </c>
      <c r="H4" s="50" t="s">
        <v>217</v>
      </c>
      <c r="I4" s="50" t="s">
        <v>182</v>
      </c>
      <c r="J4" s="51" t="s">
        <v>183</v>
      </c>
      <c r="K4" s="50" t="s">
        <v>218</v>
      </c>
      <c r="L4" s="50" t="s">
        <v>219</v>
      </c>
      <c r="M4" s="50" t="s">
        <v>220</v>
      </c>
      <c r="N4" s="50" t="s">
        <v>187</v>
      </c>
      <c r="O4" s="52" t="n">
        <v>60</v>
      </c>
      <c r="P4" s="50" t="s">
        <v>221</v>
      </c>
      <c r="Q4" s="52" t="n">
        <v>150</v>
      </c>
      <c r="R4" s="52" t="n">
        <v>20</v>
      </c>
      <c r="S4" s="49" t="str">
        <f aca="false">IF(B4="","",IF(OR(O4="",R4=""),"—",IF(O4&lt;=R4,"⚠ RÉAPPRO","OK")))</f>
        <v>OK</v>
      </c>
      <c r="T4" s="50" t="s">
        <v>222</v>
      </c>
      <c r="U4" s="50"/>
      <c r="V4" s="50"/>
      <c r="W4" s="50"/>
      <c r="X4" s="50" t="s">
        <v>223</v>
      </c>
      <c r="Y4" s="53" t="str">
        <f aca="false">IF(B4="","",IF(X4="","—",IF(X4="Non classé","Non classé",IFERROR(INDEX(RefH_Classe,MATCH(TRIM(LEFT(X4,FIND(",",X4&amp;",")-1)),RefH_Code,0)),"Code H inconnu"))))</f>
        <v>Corrosion</v>
      </c>
      <c r="Z4" s="50" t="s">
        <v>224</v>
      </c>
      <c r="AA4" s="50" t="s">
        <v>193</v>
      </c>
      <c r="AB4" s="51" t="s">
        <v>194</v>
      </c>
      <c r="AC4" s="51" t="s">
        <v>195</v>
      </c>
      <c r="AD4" s="51" t="s">
        <v>194</v>
      </c>
      <c r="AE4" s="51" t="s">
        <v>225</v>
      </c>
      <c r="AF4" s="50" t="s">
        <v>226</v>
      </c>
      <c r="AG4" s="51" t="s">
        <v>198</v>
      </c>
      <c r="AH4" s="54" t="n">
        <v>44630</v>
      </c>
      <c r="AI4" s="51" t="s">
        <v>199</v>
      </c>
      <c r="AJ4" s="55" t="n">
        <f aca="false">IF(AH4="","",EDATE(AH4,60))</f>
        <v>46456</v>
      </c>
      <c r="AK4" s="49" t="str">
        <f aca="true">IF(B4="","",IF(OR(AG4="Non",AH4=""),"FDS ABSENTE",IF(TODAY()&gt;=EDATE(AH4,60),"EXPIRÉE",IF(TODAY()&gt;=EDATE(AH4,54),"À RENOUVELER","CONFORME"))))</f>
        <v>CONFORME</v>
      </c>
      <c r="AL4" s="50" t="s">
        <v>227</v>
      </c>
      <c r="AM4" s="54"/>
      <c r="AN4" s="54"/>
      <c r="AO4" s="50" t="s">
        <v>228</v>
      </c>
      <c r="AP4" s="50" t="s">
        <v>229</v>
      </c>
      <c r="AQ4" s="50" t="s">
        <v>230</v>
      </c>
      <c r="AR4" s="50" t="s">
        <v>231</v>
      </c>
      <c r="AS4" s="50" t="s">
        <v>232</v>
      </c>
      <c r="AT4" s="50" t="s">
        <v>233</v>
      </c>
      <c r="AU4" s="50" t="s">
        <v>234</v>
      </c>
      <c r="AV4" s="50" t="s">
        <v>208</v>
      </c>
      <c r="AW4" s="52" t="n">
        <v>4</v>
      </c>
      <c r="AX4" s="52" t="n">
        <v>2</v>
      </c>
      <c r="AY4" s="56" t="n">
        <f aca="false">IF(OR(AW4="",AX4=""),"",AW4*AX4)</f>
        <v>8</v>
      </c>
      <c r="AZ4" s="52" t="n">
        <v>4</v>
      </c>
      <c r="BA4" s="56" t="n">
        <f aca="false">IF(AY4="","",IF(AZ4="",AY4,ROUNDUP(AY4/AZ4,0)))</f>
        <v>2</v>
      </c>
      <c r="BB4" s="49" t="str">
        <f aca="false">IF(BA4="","",IF(BA4&gt;=15,"P1 – Critique",IF(BA4&gt;=8,"P2 – Élevée",IF(BA4&gt;=4,"P3 – Modérée","P4 – Faible"))))</f>
        <v>P4 – Faible</v>
      </c>
      <c r="BC4" s="50"/>
      <c r="BD4" s="50"/>
      <c r="BE4" s="54"/>
      <c r="BF4" s="57"/>
      <c r="BG4" s="50"/>
      <c r="BH4" s="54" t="n">
        <v>45901</v>
      </c>
      <c r="BI4" s="54" t="n">
        <v>46146</v>
      </c>
      <c r="BJ4" s="50" t="s">
        <v>209</v>
      </c>
      <c r="BK4" s="50" t="s">
        <v>210</v>
      </c>
    </row>
    <row r="5" customFormat="false" ht="22.35" hidden="false" customHeight="false" outlineLevel="0" collapsed="false">
      <c r="A5" s="49" t="str">
        <f aca="false">IF(B5="","","PC-"&amp;TEXT(ROW()-2,"000"))</f>
        <v>PC-003</v>
      </c>
      <c r="B5" s="50" t="s">
        <v>235</v>
      </c>
      <c r="C5" s="50" t="s">
        <v>236</v>
      </c>
      <c r="D5" s="51" t="s">
        <v>237</v>
      </c>
      <c r="E5" s="51" t="s">
        <v>238</v>
      </c>
      <c r="F5" s="51" t="s">
        <v>239</v>
      </c>
      <c r="G5" s="50" t="s">
        <v>180</v>
      </c>
      <c r="H5" s="50" t="s">
        <v>217</v>
      </c>
      <c r="I5" s="50" t="s">
        <v>182</v>
      </c>
      <c r="J5" s="51" t="s">
        <v>183</v>
      </c>
      <c r="K5" s="50" t="s">
        <v>184</v>
      </c>
      <c r="L5" s="50" t="s">
        <v>185</v>
      </c>
      <c r="M5" s="50" t="s">
        <v>186</v>
      </c>
      <c r="N5" s="50" t="s">
        <v>187</v>
      </c>
      <c r="O5" s="52" t="n">
        <v>40</v>
      </c>
      <c r="P5" s="50" t="s">
        <v>188</v>
      </c>
      <c r="Q5" s="52" t="n">
        <v>120</v>
      </c>
      <c r="R5" s="52" t="n">
        <v>15</v>
      </c>
      <c r="S5" s="49" t="str">
        <f aca="false">IF(B5="","",IF(OR(O5="",R5=""),"—",IF(O5&lt;=R5,"⚠ RÉAPPRO","OK")))</f>
        <v>OK</v>
      </c>
      <c r="T5" s="50" t="s">
        <v>189</v>
      </c>
      <c r="U5" s="50" t="s">
        <v>190</v>
      </c>
      <c r="V5" s="50" t="s">
        <v>240</v>
      </c>
      <c r="W5" s="50" t="s">
        <v>241</v>
      </c>
      <c r="X5" s="50" t="s">
        <v>242</v>
      </c>
      <c r="Y5" s="53" t="str">
        <f aca="false">IF(B5="","",IF(X5="","—",IF(X5="Non classé","Non classé",IFERROR(INDEX(RefH_Classe,MATCH(TRIM(LEFT(X5,FIND(",",X5&amp;",")-1)),RefH_Code,0)),"Code H inconnu"))))</f>
        <v>Inflammabilité</v>
      </c>
      <c r="Z5" s="50" t="s">
        <v>243</v>
      </c>
      <c r="AA5" s="50" t="s">
        <v>193</v>
      </c>
      <c r="AB5" s="51" t="s">
        <v>194</v>
      </c>
      <c r="AC5" s="51" t="s">
        <v>195</v>
      </c>
      <c r="AD5" s="51" t="s">
        <v>194</v>
      </c>
      <c r="AE5" s="51" t="s">
        <v>196</v>
      </c>
      <c r="AF5" s="50" t="s">
        <v>244</v>
      </c>
      <c r="AG5" s="51" t="s">
        <v>198</v>
      </c>
      <c r="AH5" s="54" t="n">
        <v>44505</v>
      </c>
      <c r="AI5" s="51" t="s">
        <v>199</v>
      </c>
      <c r="AJ5" s="55" t="n">
        <f aca="false">IF(AH5="","",EDATE(AH5,60))</f>
        <v>46331</v>
      </c>
      <c r="AK5" s="49" t="str">
        <f aca="true">IF(B5="","",IF(OR(AG5="Non",AH5=""),"FDS ABSENTE",IF(TODAY()&gt;=EDATE(AH5,60),"EXPIRÉE",IF(TODAY()&gt;=EDATE(AH5,54),"À RENOUVELER","CONFORME"))))</f>
        <v>À RENOUVELER</v>
      </c>
      <c r="AL5" s="50" t="s">
        <v>245</v>
      </c>
      <c r="AM5" s="54"/>
      <c r="AN5" s="54"/>
      <c r="AO5" s="50" t="s">
        <v>246</v>
      </c>
      <c r="AP5" s="50" t="s">
        <v>202</v>
      </c>
      <c r="AQ5" s="50" t="s">
        <v>230</v>
      </c>
      <c r="AR5" s="50" t="s">
        <v>204</v>
      </c>
      <c r="AS5" s="50" t="s">
        <v>205</v>
      </c>
      <c r="AT5" s="50" t="s">
        <v>247</v>
      </c>
      <c r="AU5" s="50" t="s">
        <v>207</v>
      </c>
      <c r="AV5" s="50" t="s">
        <v>208</v>
      </c>
      <c r="AW5" s="52" t="n">
        <v>3</v>
      </c>
      <c r="AX5" s="52" t="n">
        <v>3</v>
      </c>
      <c r="AY5" s="56" t="n">
        <f aca="false">IF(OR(AW5="",AX5=""),"",AW5*AX5)</f>
        <v>9</v>
      </c>
      <c r="AZ5" s="52" t="n">
        <v>3</v>
      </c>
      <c r="BA5" s="56" t="n">
        <f aca="false">IF(AY5="","",IF(AZ5="",AY5,ROUNDUP(AY5/AZ5,0)))</f>
        <v>3</v>
      </c>
      <c r="BB5" s="49" t="str">
        <f aca="false">IF(BA5="","",IF(BA5&gt;=15,"P1 – Critique",IF(BA5&gt;=8,"P2 – Élevée",IF(BA5&gt;=4,"P3 – Modérée","P4 – Faible"))))</f>
        <v>P4 – Faible</v>
      </c>
      <c r="BC5" s="50"/>
      <c r="BD5" s="50"/>
      <c r="BE5" s="54"/>
      <c r="BF5" s="57"/>
      <c r="BG5" s="50"/>
      <c r="BH5" s="54" t="n">
        <v>45901</v>
      </c>
      <c r="BI5" s="54" t="n">
        <v>46134</v>
      </c>
      <c r="BJ5" s="50" t="s">
        <v>209</v>
      </c>
      <c r="BK5" s="50" t="s">
        <v>210</v>
      </c>
    </row>
    <row r="6" customFormat="false" ht="22.35" hidden="false" customHeight="false" outlineLevel="0" collapsed="false">
      <c r="A6" s="49" t="str">
        <f aca="false">IF(B6="","","PC-"&amp;TEXT(ROW()-2,"000"))</f>
        <v>PC-004</v>
      </c>
      <c r="B6" s="50" t="s">
        <v>248</v>
      </c>
      <c r="C6" s="50" t="s">
        <v>249</v>
      </c>
      <c r="D6" s="51" t="s">
        <v>250</v>
      </c>
      <c r="E6" s="51" t="s">
        <v>217</v>
      </c>
      <c r="F6" s="51" t="s">
        <v>217</v>
      </c>
      <c r="G6" s="50" t="s">
        <v>216</v>
      </c>
      <c r="H6" s="50" t="s">
        <v>217</v>
      </c>
      <c r="I6" s="50" t="s">
        <v>182</v>
      </c>
      <c r="J6" s="51" t="s">
        <v>183</v>
      </c>
      <c r="K6" s="50" t="s">
        <v>184</v>
      </c>
      <c r="L6" s="50" t="s">
        <v>251</v>
      </c>
      <c r="M6" s="50" t="s">
        <v>186</v>
      </c>
      <c r="N6" s="50" t="s">
        <v>187</v>
      </c>
      <c r="O6" s="52" t="n">
        <v>80</v>
      </c>
      <c r="P6" s="50" t="s">
        <v>188</v>
      </c>
      <c r="Q6" s="52" t="n">
        <v>200</v>
      </c>
      <c r="R6" s="52" t="n">
        <v>20</v>
      </c>
      <c r="S6" s="49" t="str">
        <f aca="false">IF(B6="","",IF(OR(O6="",R6=""),"—",IF(O6&lt;=R6,"⚠ RÉAPPRO","OK")))</f>
        <v>OK</v>
      </c>
      <c r="T6" s="50" t="s">
        <v>190</v>
      </c>
      <c r="U6" s="50"/>
      <c r="V6" s="50"/>
      <c r="W6" s="50"/>
      <c r="X6" s="50" t="s">
        <v>252</v>
      </c>
      <c r="Y6" s="53" t="str">
        <f aca="false">IF(B6="","",IF(X6="","—",IF(X6="Non classé","Non classé",IFERROR(INDEX(RefH_Classe,MATCH(TRIM(LEFT(X6,FIND(",",X6&amp;",")-1)),RefH_Code,0)),"Code H inconnu"))))</f>
        <v>Nocif – irritant</v>
      </c>
      <c r="Z6" s="50" t="s">
        <v>253</v>
      </c>
      <c r="AA6" s="50" t="s">
        <v>254</v>
      </c>
      <c r="AB6" s="51" t="s">
        <v>194</v>
      </c>
      <c r="AC6" s="51" t="s">
        <v>195</v>
      </c>
      <c r="AD6" s="51" t="s">
        <v>194</v>
      </c>
      <c r="AE6" s="51" t="s">
        <v>217</v>
      </c>
      <c r="AF6" s="50" t="s">
        <v>217</v>
      </c>
      <c r="AG6" s="51" t="s">
        <v>198</v>
      </c>
      <c r="AH6" s="54" t="n">
        <v>45097</v>
      </c>
      <c r="AI6" s="51" t="s">
        <v>199</v>
      </c>
      <c r="AJ6" s="55" t="n">
        <f aca="false">IF(AH6="","",EDATE(AH6,60))</f>
        <v>46924</v>
      </c>
      <c r="AK6" s="49" t="str">
        <f aca="true">IF(B6="","",IF(OR(AG6="Non",AH6=""),"FDS ABSENTE",IF(TODAY()&gt;=EDATE(AH6,60),"EXPIRÉE",IF(TODAY()&gt;=EDATE(AH6,54),"À RENOUVELER","CONFORME"))))</f>
        <v>CONFORME</v>
      </c>
      <c r="AL6" s="50" t="s">
        <v>255</v>
      </c>
      <c r="AM6" s="54"/>
      <c r="AN6" s="54"/>
      <c r="AO6" s="50" t="s">
        <v>256</v>
      </c>
      <c r="AP6" s="50" t="s">
        <v>229</v>
      </c>
      <c r="AQ6" s="50" t="s">
        <v>203</v>
      </c>
      <c r="AR6" s="50" t="s">
        <v>204</v>
      </c>
      <c r="AS6" s="50" t="s">
        <v>257</v>
      </c>
      <c r="AT6" s="50" t="s">
        <v>217</v>
      </c>
      <c r="AU6" s="50" t="s">
        <v>258</v>
      </c>
      <c r="AV6" s="50" t="s">
        <v>208</v>
      </c>
      <c r="AW6" s="52" t="n">
        <v>2</v>
      </c>
      <c r="AX6" s="52" t="n">
        <v>3</v>
      </c>
      <c r="AY6" s="56" t="n">
        <f aca="false">IF(OR(AW6="",AX6=""),"",AW6*AX6)</f>
        <v>6</v>
      </c>
      <c r="AZ6" s="52" t="n">
        <v>3</v>
      </c>
      <c r="BA6" s="56" t="n">
        <f aca="false">IF(AY6="","",IF(AZ6="",AY6,ROUNDUP(AY6/AZ6,0)))</f>
        <v>2</v>
      </c>
      <c r="BB6" s="49" t="str">
        <f aca="false">IF(BA6="","",IF(BA6&gt;=15,"P1 – Critique",IF(BA6&gt;=8,"P2 – Élevée",IF(BA6&gt;=4,"P3 – Modérée","P4 – Faible"))))</f>
        <v>P4 – Faible</v>
      </c>
      <c r="BC6" s="50"/>
      <c r="BD6" s="50"/>
      <c r="BE6" s="54"/>
      <c r="BF6" s="57"/>
      <c r="BG6" s="50"/>
      <c r="BH6" s="54" t="n">
        <v>45901</v>
      </c>
      <c r="BI6" s="54" t="n">
        <v>46083</v>
      </c>
      <c r="BJ6" s="50" t="s">
        <v>186</v>
      </c>
      <c r="BK6" s="50" t="s">
        <v>210</v>
      </c>
    </row>
    <row r="7" customFormat="false" ht="22.35" hidden="false" customHeight="false" outlineLevel="0" collapsed="false">
      <c r="A7" s="49" t="str">
        <f aca="false">IF(B7="","","PC-"&amp;TEXT(ROW()-2,"000"))</f>
        <v>PC-005</v>
      </c>
      <c r="B7" s="50" t="s">
        <v>259</v>
      </c>
      <c r="C7" s="50" t="s">
        <v>260</v>
      </c>
      <c r="D7" s="51" t="s">
        <v>261</v>
      </c>
      <c r="E7" s="51" t="s">
        <v>262</v>
      </c>
      <c r="F7" s="51" t="s">
        <v>263</v>
      </c>
      <c r="G7" s="50" t="s">
        <v>216</v>
      </c>
      <c r="H7" s="50" t="s">
        <v>217</v>
      </c>
      <c r="I7" s="50" t="s">
        <v>264</v>
      </c>
      <c r="J7" s="51" t="s">
        <v>265</v>
      </c>
      <c r="K7" s="50" t="s">
        <v>218</v>
      </c>
      <c r="L7" s="50" t="s">
        <v>219</v>
      </c>
      <c r="M7" s="50" t="s">
        <v>220</v>
      </c>
      <c r="N7" s="50" t="s">
        <v>187</v>
      </c>
      <c r="O7" s="52" t="n">
        <v>100</v>
      </c>
      <c r="P7" s="50" t="s">
        <v>188</v>
      </c>
      <c r="Q7" s="52" t="n">
        <v>400</v>
      </c>
      <c r="R7" s="52" t="n">
        <v>30</v>
      </c>
      <c r="S7" s="49" t="str">
        <f aca="false">IF(B7="","",IF(OR(O7="",R7=""),"—",IF(O7&lt;=R7,"⚠ RÉAPPRO","OK")))</f>
        <v>OK</v>
      </c>
      <c r="T7" s="50" t="s">
        <v>222</v>
      </c>
      <c r="U7" s="50" t="s">
        <v>241</v>
      </c>
      <c r="V7" s="50"/>
      <c r="W7" s="50"/>
      <c r="X7" s="50" t="s">
        <v>266</v>
      </c>
      <c r="Y7" s="53" t="str">
        <f aca="false">IF(B7="","",IF(X7="","—",IF(X7="Non classé","Non classé",IFERROR(INDEX(RefH_Classe,MATCH(TRIM(LEFT(X7,FIND(",",X7&amp;",")-1)),RefH_Code,0)),"Code H inconnu"))))</f>
        <v>Corrosion</v>
      </c>
      <c r="Z7" s="50" t="s">
        <v>267</v>
      </c>
      <c r="AA7" s="50" t="s">
        <v>193</v>
      </c>
      <c r="AB7" s="51" t="s">
        <v>194</v>
      </c>
      <c r="AC7" s="51" t="s">
        <v>195</v>
      </c>
      <c r="AD7" s="51" t="s">
        <v>194</v>
      </c>
      <c r="AE7" s="51" t="s">
        <v>225</v>
      </c>
      <c r="AF7" s="50" t="s">
        <v>217</v>
      </c>
      <c r="AG7" s="51" t="s">
        <v>198</v>
      </c>
      <c r="AH7" s="54" t="n">
        <v>45700</v>
      </c>
      <c r="AI7" s="51" t="s">
        <v>199</v>
      </c>
      <c r="AJ7" s="55" t="n">
        <f aca="false">IF(AH7="","",EDATE(AH7,60))</f>
        <v>47526</v>
      </c>
      <c r="AK7" s="49" t="str">
        <f aca="true">IF(B7="","",IF(OR(AG7="Non",AH7=""),"FDS ABSENTE",IF(TODAY()&gt;=EDATE(AH7,60),"EXPIRÉE",IF(TODAY()&gt;=EDATE(AH7,54),"À RENOUVELER","CONFORME"))))</f>
        <v>CONFORME</v>
      </c>
      <c r="AL7" s="50" t="s">
        <v>268</v>
      </c>
      <c r="AM7" s="54"/>
      <c r="AN7" s="54"/>
      <c r="AO7" s="50" t="s">
        <v>269</v>
      </c>
      <c r="AP7" s="50" t="s">
        <v>229</v>
      </c>
      <c r="AQ7" s="50" t="s">
        <v>203</v>
      </c>
      <c r="AR7" s="50" t="s">
        <v>270</v>
      </c>
      <c r="AS7" s="50" t="s">
        <v>271</v>
      </c>
      <c r="AT7" s="50" t="s">
        <v>272</v>
      </c>
      <c r="AU7" s="50" t="s">
        <v>273</v>
      </c>
      <c r="AV7" s="50" t="s">
        <v>208</v>
      </c>
      <c r="AW7" s="52" t="n">
        <v>3</v>
      </c>
      <c r="AX7" s="52" t="n">
        <v>2</v>
      </c>
      <c r="AY7" s="56" t="n">
        <f aca="false">IF(OR(AW7="",AX7=""),"",AW7*AX7)</f>
        <v>6</v>
      </c>
      <c r="AZ7" s="52" t="n">
        <v>3</v>
      </c>
      <c r="BA7" s="56" t="n">
        <f aca="false">IF(AY7="","",IF(AZ7="",AY7,ROUNDUP(AY7/AZ7,0)))</f>
        <v>2</v>
      </c>
      <c r="BB7" s="49" t="str">
        <f aca="false">IF(BA7="","",IF(BA7&gt;=15,"P1 – Critique",IF(BA7&gt;=8,"P2 – Élevée",IF(BA7&gt;=4,"P3 – Modérée","P4 – Faible"))))</f>
        <v>P4 – Faible</v>
      </c>
      <c r="BC7" s="50" t="s">
        <v>274</v>
      </c>
      <c r="BD7" s="50" t="s">
        <v>209</v>
      </c>
      <c r="BE7" s="54" t="n">
        <v>46096</v>
      </c>
      <c r="BF7" s="57" t="n">
        <v>1</v>
      </c>
      <c r="BG7" s="50" t="s">
        <v>275</v>
      </c>
      <c r="BH7" s="54" t="n">
        <v>45901</v>
      </c>
      <c r="BI7" s="54" t="n">
        <v>46097</v>
      </c>
      <c r="BJ7" s="50" t="s">
        <v>209</v>
      </c>
      <c r="BK7" s="50" t="s">
        <v>276</v>
      </c>
    </row>
    <row r="8" customFormat="false" ht="22.35" hidden="false" customHeight="false" outlineLevel="0" collapsed="false">
      <c r="A8" s="49" t="str">
        <f aca="false">IF(B8="","","PC-"&amp;TEXT(ROW()-2,"000"))</f>
        <v>PC-006</v>
      </c>
      <c r="B8" s="50" t="s">
        <v>277</v>
      </c>
      <c r="C8" s="50" t="s">
        <v>278</v>
      </c>
      <c r="D8" s="51" t="s">
        <v>279</v>
      </c>
      <c r="E8" s="51" t="s">
        <v>280</v>
      </c>
      <c r="F8" s="51" t="s">
        <v>217</v>
      </c>
      <c r="G8" s="50" t="s">
        <v>180</v>
      </c>
      <c r="H8" s="50" t="s">
        <v>217</v>
      </c>
      <c r="I8" s="50" t="s">
        <v>182</v>
      </c>
      <c r="J8" s="51" t="s">
        <v>183</v>
      </c>
      <c r="K8" s="50" t="s">
        <v>184</v>
      </c>
      <c r="L8" s="50" t="s">
        <v>251</v>
      </c>
      <c r="M8" s="50" t="s">
        <v>186</v>
      </c>
      <c r="N8" s="50" t="s">
        <v>281</v>
      </c>
      <c r="O8" s="52" t="n">
        <v>12</v>
      </c>
      <c r="P8" s="50" t="s">
        <v>221</v>
      </c>
      <c r="Q8" s="52" t="n">
        <v>30</v>
      </c>
      <c r="R8" s="52" t="n">
        <v>4</v>
      </c>
      <c r="S8" s="49" t="str">
        <f aca="false">IF(B8="","",IF(OR(O8="",R8=""),"—",IF(O8&lt;=R8,"⚠ RÉAPPRO","OK")))</f>
        <v>OK</v>
      </c>
      <c r="T8" s="50" t="s">
        <v>190</v>
      </c>
      <c r="U8" s="50" t="s">
        <v>241</v>
      </c>
      <c r="V8" s="50"/>
      <c r="W8" s="50"/>
      <c r="X8" s="50" t="s">
        <v>282</v>
      </c>
      <c r="Y8" s="53" t="str">
        <f aca="false">IF(B8="","",IF(X8="","—",IF(X8="Non classé","Non classé",IFERROR(INDEX(RefH_Classe,MATCH(TRIM(LEFT(X8,FIND(",",X8&amp;",")-1)),RefH_Code,0)),"Code H inconnu"))))</f>
        <v>Nocif – irritant</v>
      </c>
      <c r="Z8" s="50" t="s">
        <v>283</v>
      </c>
      <c r="AA8" s="50" t="s">
        <v>254</v>
      </c>
      <c r="AB8" s="51" t="s">
        <v>194</v>
      </c>
      <c r="AC8" s="51" t="s">
        <v>195</v>
      </c>
      <c r="AD8" s="51" t="s">
        <v>194</v>
      </c>
      <c r="AE8" s="51" t="s">
        <v>284</v>
      </c>
      <c r="AF8" s="50" t="s">
        <v>217</v>
      </c>
      <c r="AG8" s="51" t="s">
        <v>198</v>
      </c>
      <c r="AH8" s="54" t="n">
        <v>45543</v>
      </c>
      <c r="AI8" s="51" t="s">
        <v>199</v>
      </c>
      <c r="AJ8" s="55" t="n">
        <f aca="false">IF(AH8="","",EDATE(AH8,60))</f>
        <v>47369</v>
      </c>
      <c r="AK8" s="49" t="str">
        <f aca="true">IF(B8="","",IF(OR(AG8="Non",AH8=""),"FDS ABSENTE",IF(TODAY()&gt;=EDATE(AH8,60),"EXPIRÉE",IF(TODAY()&gt;=EDATE(AH8,54),"À RENOUVELER","CONFORME"))))</f>
        <v>CONFORME</v>
      </c>
      <c r="AL8" s="50" t="s">
        <v>285</v>
      </c>
      <c r="AM8" s="54"/>
      <c r="AN8" s="54"/>
      <c r="AO8" s="50" t="s">
        <v>286</v>
      </c>
      <c r="AP8" s="50" t="s">
        <v>229</v>
      </c>
      <c r="AQ8" s="50" t="s">
        <v>287</v>
      </c>
      <c r="AR8" s="50" t="s">
        <v>288</v>
      </c>
      <c r="AS8" s="50" t="s">
        <v>205</v>
      </c>
      <c r="AT8" s="50" t="s">
        <v>289</v>
      </c>
      <c r="AU8" s="50" t="s">
        <v>290</v>
      </c>
      <c r="AV8" s="50" t="s">
        <v>208</v>
      </c>
      <c r="AW8" s="52" t="n">
        <v>3</v>
      </c>
      <c r="AX8" s="52" t="n">
        <v>3</v>
      </c>
      <c r="AY8" s="56" t="n">
        <f aca="false">IF(OR(AW8="",AX8=""),"",AW8*AX8)</f>
        <v>9</v>
      </c>
      <c r="AZ8" s="52" t="n">
        <v>3</v>
      </c>
      <c r="BA8" s="56" t="n">
        <f aca="false">IF(AY8="","",IF(AZ8="",AY8,ROUNDUP(AY8/AZ8,0)))</f>
        <v>3</v>
      </c>
      <c r="BB8" s="49" t="str">
        <f aca="false">IF(BA8="","",IF(BA8&gt;=15,"P1 – Critique",IF(BA8&gt;=8,"P2 – Élevée",IF(BA8&gt;=4,"P3 – Modérée","P4 – Faible"))))</f>
        <v>P4 – Faible</v>
      </c>
      <c r="BC8" s="50"/>
      <c r="BD8" s="50"/>
      <c r="BE8" s="54"/>
      <c r="BF8" s="57"/>
      <c r="BG8" s="50"/>
      <c r="BH8" s="54" t="n">
        <v>45901</v>
      </c>
      <c r="BI8" s="54" t="n">
        <v>46062</v>
      </c>
      <c r="BJ8" s="50" t="s">
        <v>209</v>
      </c>
      <c r="BK8" s="50" t="s">
        <v>291</v>
      </c>
    </row>
    <row r="9" customFormat="false" ht="32.8" hidden="false" customHeight="false" outlineLevel="0" collapsed="false">
      <c r="A9" s="49" t="str">
        <f aca="false">IF(B9="","","PC-"&amp;TEXT(ROW()-2,"000"))</f>
        <v>PC-007</v>
      </c>
      <c r="B9" s="50" t="s">
        <v>292</v>
      </c>
      <c r="C9" s="50" t="s">
        <v>293</v>
      </c>
      <c r="D9" s="51" t="s">
        <v>294</v>
      </c>
      <c r="E9" s="51" t="s">
        <v>295</v>
      </c>
      <c r="F9" s="51" t="s">
        <v>296</v>
      </c>
      <c r="G9" s="50" t="s">
        <v>297</v>
      </c>
      <c r="H9" s="50" t="s">
        <v>298</v>
      </c>
      <c r="I9" s="50" t="s">
        <v>182</v>
      </c>
      <c r="J9" s="51" t="s">
        <v>299</v>
      </c>
      <c r="K9" s="50" t="s">
        <v>300</v>
      </c>
      <c r="L9" s="50" t="s">
        <v>301</v>
      </c>
      <c r="M9" s="50" t="s">
        <v>209</v>
      </c>
      <c r="N9" s="50" t="s">
        <v>302</v>
      </c>
      <c r="O9" s="52" t="n">
        <v>120</v>
      </c>
      <c r="P9" s="50" t="s">
        <v>188</v>
      </c>
      <c r="Q9" s="52" t="n">
        <v>600</v>
      </c>
      <c r="R9" s="52" t="n">
        <v>30</v>
      </c>
      <c r="S9" s="49" t="str">
        <f aca="false">IF(B9="","",IF(OR(O9="",R9=""),"—",IF(O9&lt;=R9,"⚠ RÉAPPRO","OK")))</f>
        <v>OK</v>
      </c>
      <c r="T9" s="50" t="s">
        <v>303</v>
      </c>
      <c r="U9" s="50"/>
      <c r="V9" s="50"/>
      <c r="W9" s="50"/>
      <c r="X9" s="50" t="s">
        <v>304</v>
      </c>
      <c r="Y9" s="53" t="str">
        <f aca="false">IF(B9="","",IF(X9="","—",IF(X9="Non classé","Non classé",IFERROR(INDEX(RefH_Classe,MATCH(TRIM(LEFT(X9,FIND(",",X9&amp;",")-1)),RefH_Code,0)),"Code H inconnu"))))</f>
        <v>Gaz sous pression</v>
      </c>
      <c r="Z9" s="50" t="s">
        <v>305</v>
      </c>
      <c r="AA9" s="50" t="s">
        <v>254</v>
      </c>
      <c r="AB9" s="51" t="s">
        <v>194</v>
      </c>
      <c r="AC9" s="51" t="s">
        <v>195</v>
      </c>
      <c r="AD9" s="51" t="s">
        <v>194</v>
      </c>
      <c r="AE9" s="51" t="s">
        <v>306</v>
      </c>
      <c r="AF9" s="50" t="s">
        <v>217</v>
      </c>
      <c r="AG9" s="51" t="s">
        <v>198</v>
      </c>
      <c r="AH9" s="54" t="n">
        <v>45019</v>
      </c>
      <c r="AI9" s="51" t="s">
        <v>199</v>
      </c>
      <c r="AJ9" s="55" t="n">
        <f aca="false">IF(AH9="","",EDATE(AH9,60))</f>
        <v>46846</v>
      </c>
      <c r="AK9" s="49" t="str">
        <f aca="true">IF(B9="","",IF(OR(AG9="Non",AH9=""),"FDS ABSENTE",IF(TODAY()&gt;=EDATE(AH9,60),"EXPIRÉE",IF(TODAY()&gt;=EDATE(AH9,54),"À RENOUVELER","CONFORME"))))</f>
        <v>CONFORME</v>
      </c>
      <c r="AL9" s="50" t="s">
        <v>307</v>
      </c>
      <c r="AM9" s="54"/>
      <c r="AN9" s="54"/>
      <c r="AO9" s="50" t="s">
        <v>308</v>
      </c>
      <c r="AP9" s="50" t="s">
        <v>229</v>
      </c>
      <c r="AQ9" s="50" t="s">
        <v>230</v>
      </c>
      <c r="AR9" s="50" t="s">
        <v>309</v>
      </c>
      <c r="AS9" s="50" t="s">
        <v>310</v>
      </c>
      <c r="AT9" s="50" t="s">
        <v>217</v>
      </c>
      <c r="AU9" s="50" t="s">
        <v>217</v>
      </c>
      <c r="AV9" s="50" t="s">
        <v>311</v>
      </c>
      <c r="AW9" s="52" t="n">
        <v>3</v>
      </c>
      <c r="AX9" s="52" t="n">
        <v>2</v>
      </c>
      <c r="AY9" s="56" t="n">
        <f aca="false">IF(OR(AW9="",AX9=""),"",AW9*AX9)</f>
        <v>6</v>
      </c>
      <c r="AZ9" s="52" t="n">
        <v>3</v>
      </c>
      <c r="BA9" s="56" t="n">
        <f aca="false">IF(AY9="","",IF(AZ9="",AY9,ROUNDUP(AY9/AZ9,0)))</f>
        <v>2</v>
      </c>
      <c r="BB9" s="49" t="str">
        <f aca="false">IF(BA9="","",IF(BA9&gt;=15,"P1 – Critique",IF(BA9&gt;=8,"P2 – Élevée",IF(BA9&gt;=4,"P3 – Modérée","P4 – Faible"))))</f>
        <v>P4 – Faible</v>
      </c>
      <c r="BC9" s="50"/>
      <c r="BD9" s="50"/>
      <c r="BE9" s="54"/>
      <c r="BF9" s="57"/>
      <c r="BG9" s="50"/>
      <c r="BH9" s="54" t="n">
        <v>45901</v>
      </c>
      <c r="BI9" s="54" t="n">
        <v>46042</v>
      </c>
      <c r="BJ9" s="50" t="s">
        <v>209</v>
      </c>
      <c r="BK9" s="50" t="s">
        <v>210</v>
      </c>
    </row>
    <row r="10" customFormat="false" ht="32.8" hidden="false" customHeight="false" outlineLevel="0" collapsed="false">
      <c r="A10" s="49" t="str">
        <f aca="false">IF(B10="","","PC-"&amp;TEXT(ROW()-2,"000"))</f>
        <v>PC-008</v>
      </c>
      <c r="B10" s="50" t="s">
        <v>312</v>
      </c>
      <c r="C10" s="50" t="s">
        <v>313</v>
      </c>
      <c r="D10" s="51" t="s">
        <v>314</v>
      </c>
      <c r="E10" s="51" t="s">
        <v>315</v>
      </c>
      <c r="F10" s="51" t="s">
        <v>316</v>
      </c>
      <c r="G10" s="50" t="s">
        <v>216</v>
      </c>
      <c r="H10" s="50" t="s">
        <v>217</v>
      </c>
      <c r="I10" s="50" t="s">
        <v>182</v>
      </c>
      <c r="J10" s="51" t="s">
        <v>183</v>
      </c>
      <c r="K10" s="50" t="s">
        <v>218</v>
      </c>
      <c r="L10" s="50" t="s">
        <v>317</v>
      </c>
      <c r="M10" s="50" t="s">
        <v>220</v>
      </c>
      <c r="N10" s="50" t="s">
        <v>187</v>
      </c>
      <c r="O10" s="52" t="n">
        <v>30</v>
      </c>
      <c r="P10" s="50" t="s">
        <v>188</v>
      </c>
      <c r="Q10" s="52" t="n">
        <v>60</v>
      </c>
      <c r="R10" s="52" t="n">
        <v>10</v>
      </c>
      <c r="S10" s="49" t="str">
        <f aca="false">IF(B10="","",IF(OR(O10="",R10=""),"—",IF(O10&lt;=R10,"⚠ RÉAPPRO","OK")))</f>
        <v>OK</v>
      </c>
      <c r="T10" s="50" t="s">
        <v>222</v>
      </c>
      <c r="U10" s="50"/>
      <c r="V10" s="50"/>
      <c r="W10" s="50"/>
      <c r="X10" s="50" t="s">
        <v>223</v>
      </c>
      <c r="Y10" s="53" t="str">
        <f aca="false">IF(B10="","",IF(X10="","—",IF(X10="Non classé","Non classé",IFERROR(INDEX(RefH_Classe,MATCH(TRIM(LEFT(X10,FIND(",",X10&amp;",")-1)),RefH_Code,0)),"Code H inconnu"))))</f>
        <v>Corrosion</v>
      </c>
      <c r="Z10" s="50" t="s">
        <v>318</v>
      </c>
      <c r="AA10" s="50" t="s">
        <v>193</v>
      </c>
      <c r="AB10" s="51" t="s">
        <v>194</v>
      </c>
      <c r="AC10" s="51" t="s">
        <v>195</v>
      </c>
      <c r="AD10" s="51" t="s">
        <v>194</v>
      </c>
      <c r="AE10" s="51" t="s">
        <v>225</v>
      </c>
      <c r="AF10" s="50" t="s">
        <v>319</v>
      </c>
      <c r="AG10" s="51" t="s">
        <v>198</v>
      </c>
      <c r="AH10" s="54" t="n">
        <v>43976</v>
      </c>
      <c r="AI10" s="51" t="s">
        <v>199</v>
      </c>
      <c r="AJ10" s="55" t="n">
        <f aca="false">IF(AH10="","",EDATE(AH10,60))</f>
        <v>45802</v>
      </c>
      <c r="AK10" s="49" t="str">
        <f aca="true">IF(B10="","",IF(OR(AG10="Non",AH10=""),"FDS ABSENTE",IF(TODAY()&gt;=EDATE(AH10,60),"EXPIRÉE",IF(TODAY()&gt;=EDATE(AH10,54),"À RENOUVELER","CONFORME"))))</f>
        <v>EXPIRÉE</v>
      </c>
      <c r="AL10" s="50" t="s">
        <v>320</v>
      </c>
      <c r="AM10" s="54" t="n">
        <v>46204</v>
      </c>
      <c r="AN10" s="54"/>
      <c r="AO10" s="50" t="s">
        <v>321</v>
      </c>
      <c r="AP10" s="50" t="s">
        <v>229</v>
      </c>
      <c r="AQ10" s="50" t="s">
        <v>287</v>
      </c>
      <c r="AR10" s="50" t="s">
        <v>231</v>
      </c>
      <c r="AS10" s="50" t="s">
        <v>322</v>
      </c>
      <c r="AT10" s="50" t="s">
        <v>323</v>
      </c>
      <c r="AU10" s="50" t="s">
        <v>324</v>
      </c>
      <c r="AV10" s="50" t="s">
        <v>208</v>
      </c>
      <c r="AW10" s="52" t="n">
        <v>5</v>
      </c>
      <c r="AX10" s="52" t="n">
        <v>2</v>
      </c>
      <c r="AY10" s="56" t="n">
        <f aca="false">IF(OR(AW10="",AX10=""),"",AW10*AX10)</f>
        <v>10</v>
      </c>
      <c r="AZ10" s="52" t="n">
        <v>2</v>
      </c>
      <c r="BA10" s="56" t="n">
        <f aca="false">IF(AY10="","",IF(AZ10="",AY10,ROUNDUP(AY10/AZ10,0)))</f>
        <v>5</v>
      </c>
      <c r="BB10" s="49" t="str">
        <f aca="false">IF(BA10="","",IF(BA10&gt;=15,"P1 – Critique",IF(BA10&gt;=8,"P2 – Élevée",IF(BA10&gt;=4,"P3 – Modérée","P4 – Faible"))))</f>
        <v>P3 – Modérée</v>
      </c>
      <c r="BC10" s="50" t="s">
        <v>325</v>
      </c>
      <c r="BD10" s="50" t="s">
        <v>209</v>
      </c>
      <c r="BE10" s="54" t="n">
        <v>46249</v>
      </c>
      <c r="BF10" s="57" t="n">
        <v>0.5</v>
      </c>
      <c r="BG10" s="50" t="s">
        <v>326</v>
      </c>
      <c r="BH10" s="54" t="n">
        <v>45901</v>
      </c>
      <c r="BI10" s="54" t="n">
        <v>46204</v>
      </c>
      <c r="BJ10" s="50" t="s">
        <v>209</v>
      </c>
      <c r="BK10" s="50" t="s">
        <v>210</v>
      </c>
    </row>
    <row r="11" customFormat="false" ht="15" hidden="false" customHeight="false" outlineLevel="0" collapsed="false">
      <c r="A11" s="49" t="str">
        <f aca="false">IF(B11="","","PC-"&amp;TEXT(ROW()-2,"000"))</f>
        <v>PC-009</v>
      </c>
      <c r="B11" s="50" t="s">
        <v>327</v>
      </c>
      <c r="C11" s="50" t="s">
        <v>328</v>
      </c>
      <c r="D11" s="51" t="s">
        <v>250</v>
      </c>
      <c r="E11" s="51" t="s">
        <v>217</v>
      </c>
      <c r="F11" s="51" t="s">
        <v>217</v>
      </c>
      <c r="G11" s="50" t="s">
        <v>329</v>
      </c>
      <c r="H11" s="50" t="s">
        <v>217</v>
      </c>
      <c r="I11" s="50" t="s">
        <v>182</v>
      </c>
      <c r="J11" s="51" t="s">
        <v>183</v>
      </c>
      <c r="K11" s="50" t="s">
        <v>184</v>
      </c>
      <c r="L11" s="50" t="s">
        <v>251</v>
      </c>
      <c r="M11" s="50" t="s">
        <v>186</v>
      </c>
      <c r="N11" s="50" t="s">
        <v>330</v>
      </c>
      <c r="O11" s="52" t="n">
        <v>50</v>
      </c>
      <c r="P11" s="50" t="s">
        <v>331</v>
      </c>
      <c r="Q11" s="52" t="n">
        <v>150</v>
      </c>
      <c r="R11" s="52" t="n">
        <v>10</v>
      </c>
      <c r="S11" s="49" t="str">
        <f aca="false">IF(B11="","",IF(OR(O11="",R11=""),"—",IF(O11&lt;=R11,"⚠ RÉAPPRO","OK")))</f>
        <v>OK</v>
      </c>
      <c r="T11" s="50"/>
      <c r="U11" s="50"/>
      <c r="V11" s="50"/>
      <c r="W11" s="50"/>
      <c r="X11" s="50" t="s">
        <v>332</v>
      </c>
      <c r="Y11" s="53" t="str">
        <f aca="false">IF(B11="","",IF(X11="","—",IF(X11="Non classé","Non classé",IFERROR(INDEX(RefH_Classe,MATCH(TRIM(LEFT(X11,FIND(",",X11&amp;",")-1)),RefH_Code,0)),"Code H inconnu"))))</f>
        <v>Non classé</v>
      </c>
      <c r="Z11" s="50" t="s">
        <v>333</v>
      </c>
      <c r="AA11" s="50" t="s">
        <v>334</v>
      </c>
      <c r="AB11" s="51" t="s">
        <v>194</v>
      </c>
      <c r="AC11" s="51" t="s">
        <v>195</v>
      </c>
      <c r="AD11" s="51" t="s">
        <v>194</v>
      </c>
      <c r="AE11" s="51" t="s">
        <v>217</v>
      </c>
      <c r="AF11" s="50" t="s">
        <v>217</v>
      </c>
      <c r="AG11" s="51" t="s">
        <v>198</v>
      </c>
      <c r="AH11" s="54" t="n">
        <v>45583</v>
      </c>
      <c r="AI11" s="51" t="s">
        <v>199</v>
      </c>
      <c r="AJ11" s="55" t="n">
        <f aca="false">IF(AH11="","",EDATE(AH11,60))</f>
        <v>47409</v>
      </c>
      <c r="AK11" s="49" t="str">
        <f aca="true">IF(B11="","",IF(OR(AG11="Non",AH11=""),"FDS ABSENTE",IF(TODAY()&gt;=EDATE(AH11,60),"EXPIRÉE",IF(TODAY()&gt;=EDATE(AH11,54),"À RENOUVELER","CONFORME"))))</f>
        <v>CONFORME</v>
      </c>
      <c r="AL11" s="50" t="s">
        <v>335</v>
      </c>
      <c r="AM11" s="54"/>
      <c r="AN11" s="54"/>
      <c r="AO11" s="50" t="s">
        <v>336</v>
      </c>
      <c r="AP11" s="50" t="s">
        <v>229</v>
      </c>
      <c r="AQ11" s="50" t="s">
        <v>203</v>
      </c>
      <c r="AR11" s="50" t="s">
        <v>337</v>
      </c>
      <c r="AS11" s="50" t="s">
        <v>217</v>
      </c>
      <c r="AT11" s="50" t="s">
        <v>217</v>
      </c>
      <c r="AU11" s="50" t="s">
        <v>338</v>
      </c>
      <c r="AV11" s="50" t="s">
        <v>217</v>
      </c>
      <c r="AW11" s="52" t="n">
        <v>1</v>
      </c>
      <c r="AX11" s="52" t="n">
        <v>2</v>
      </c>
      <c r="AY11" s="56" t="n">
        <f aca="false">IF(OR(AW11="",AX11=""),"",AW11*AX11)</f>
        <v>2</v>
      </c>
      <c r="AZ11" s="52" t="n">
        <v>2</v>
      </c>
      <c r="BA11" s="56" t="n">
        <f aca="false">IF(AY11="","",IF(AZ11="",AY11,ROUNDUP(AY11/AZ11,0)))</f>
        <v>1</v>
      </c>
      <c r="BB11" s="49" t="str">
        <f aca="false">IF(BA11="","",IF(BA11&gt;=15,"P1 – Critique",IF(BA11&gt;=8,"P2 – Élevée",IF(BA11&gt;=4,"P3 – Modérée","P4 – Faible"))))</f>
        <v>P4 – Faible</v>
      </c>
      <c r="BC11" s="50"/>
      <c r="BD11" s="50"/>
      <c r="BE11" s="54"/>
      <c r="BF11" s="57"/>
      <c r="BG11" s="50"/>
      <c r="BH11" s="54" t="n">
        <v>45901</v>
      </c>
      <c r="BI11" s="54" t="n">
        <v>46034</v>
      </c>
      <c r="BJ11" s="50" t="s">
        <v>186</v>
      </c>
      <c r="BK11" s="50" t="s">
        <v>210</v>
      </c>
    </row>
    <row r="12" customFormat="false" ht="22.35" hidden="false" customHeight="false" outlineLevel="0" collapsed="false">
      <c r="A12" s="49" t="str">
        <f aca="false">IF(B12="","","PC-"&amp;TEXT(ROW()-2,"000"))</f>
        <v>PC-010</v>
      </c>
      <c r="B12" s="50" t="s">
        <v>339</v>
      </c>
      <c r="C12" s="50" t="s">
        <v>340</v>
      </c>
      <c r="D12" s="51" t="s">
        <v>341</v>
      </c>
      <c r="E12" s="51" t="s">
        <v>342</v>
      </c>
      <c r="F12" s="51" t="s">
        <v>343</v>
      </c>
      <c r="G12" s="50" t="s">
        <v>344</v>
      </c>
      <c r="H12" s="50" t="s">
        <v>217</v>
      </c>
      <c r="I12" s="50" t="s">
        <v>264</v>
      </c>
      <c r="J12" s="51" t="s">
        <v>265</v>
      </c>
      <c r="K12" s="50" t="s">
        <v>345</v>
      </c>
      <c r="L12" s="50" t="s">
        <v>346</v>
      </c>
      <c r="M12" s="50" t="s">
        <v>220</v>
      </c>
      <c r="N12" s="50" t="s">
        <v>187</v>
      </c>
      <c r="O12" s="52" t="n">
        <v>60</v>
      </c>
      <c r="P12" s="50" t="s">
        <v>188</v>
      </c>
      <c r="Q12" s="52" t="n">
        <v>250</v>
      </c>
      <c r="R12" s="52" t="n">
        <v>20</v>
      </c>
      <c r="S12" s="49" t="str">
        <f aca="false">IF(B12="","",IF(OR(O12="",R12=""),"—",IF(O12&lt;=R12,"⚠ RÉAPPRO","OK")))</f>
        <v>OK</v>
      </c>
      <c r="T12" s="50" t="s">
        <v>189</v>
      </c>
      <c r="U12" s="50" t="s">
        <v>190</v>
      </c>
      <c r="V12" s="50" t="s">
        <v>240</v>
      </c>
      <c r="W12" s="50"/>
      <c r="X12" s="50" t="s">
        <v>347</v>
      </c>
      <c r="Y12" s="53" t="str">
        <f aca="false">IF(B12="","",IF(X12="","—",IF(X12="Non classé","Non classé",IFERROR(INDEX(RefH_Classe,MATCH(TRIM(LEFT(X12,FIND(",",X12&amp;",")-1)),RefH_Code,0)),"Code H inconnu"))))</f>
        <v>Inflammabilité</v>
      </c>
      <c r="Z12" s="50" t="s">
        <v>348</v>
      </c>
      <c r="AA12" s="50" t="s">
        <v>193</v>
      </c>
      <c r="AB12" s="51" t="s">
        <v>194</v>
      </c>
      <c r="AC12" s="51" t="s">
        <v>195</v>
      </c>
      <c r="AD12" s="51" t="s">
        <v>194</v>
      </c>
      <c r="AE12" s="51" t="s">
        <v>196</v>
      </c>
      <c r="AF12" s="50" t="s">
        <v>217</v>
      </c>
      <c r="AG12" s="51" t="s">
        <v>194</v>
      </c>
      <c r="AH12" s="54"/>
      <c r="AI12" s="51"/>
      <c r="AJ12" s="55" t="str">
        <f aca="false">IF(AH12="","",EDATE(AH12,60))</f>
        <v/>
      </c>
      <c r="AK12" s="49" t="str">
        <f aca="true">IF(B12="","",IF(OR(AG12="Non",AH12=""),"FDS ABSENTE",IF(TODAY()&gt;=EDATE(AH12,60),"EXPIRÉE",IF(TODAY()&gt;=EDATE(AH12,54),"À RENOUVELER","CONFORME"))))</f>
        <v>FDS ABSENTE</v>
      </c>
      <c r="AL12" s="50"/>
      <c r="AM12" s="54" t="n">
        <v>46213</v>
      </c>
      <c r="AN12" s="54"/>
      <c r="AO12" s="50" t="s">
        <v>349</v>
      </c>
      <c r="AP12" s="50" t="s">
        <v>202</v>
      </c>
      <c r="AQ12" s="50" t="s">
        <v>350</v>
      </c>
      <c r="AR12" s="50" t="s">
        <v>351</v>
      </c>
      <c r="AS12" s="50" t="s">
        <v>257</v>
      </c>
      <c r="AT12" s="50" t="s">
        <v>247</v>
      </c>
      <c r="AU12" s="50" t="s">
        <v>207</v>
      </c>
      <c r="AV12" s="50" t="s">
        <v>208</v>
      </c>
      <c r="AW12" s="52" t="n">
        <v>3</v>
      </c>
      <c r="AX12" s="52" t="n">
        <v>3</v>
      </c>
      <c r="AY12" s="56" t="n">
        <f aca="false">IF(OR(AW12="",AX12=""),"",AW12*AX12)</f>
        <v>9</v>
      </c>
      <c r="AZ12" s="52" t="n">
        <v>1</v>
      </c>
      <c r="BA12" s="56" t="n">
        <f aca="false">IF(AY12="","",IF(AZ12="",AY12,ROUNDUP(AY12/AZ12,0)))</f>
        <v>9</v>
      </c>
      <c r="BB12" s="49" t="str">
        <f aca="false">IF(BA12="","",IF(BA12&gt;=15,"P1 – Critique",IF(BA12&gt;=8,"P2 – Élevée",IF(BA12&gt;=4,"P3 – Modérée","P4 – Faible"))))</f>
        <v>P2 – Élevée</v>
      </c>
      <c r="BC12" s="50" t="s">
        <v>352</v>
      </c>
      <c r="BD12" s="50" t="s">
        <v>220</v>
      </c>
      <c r="BE12" s="54" t="n">
        <v>46234</v>
      </c>
      <c r="BF12" s="57" t="n">
        <v>0</v>
      </c>
      <c r="BG12" s="50" t="s">
        <v>353</v>
      </c>
      <c r="BH12" s="54" t="n">
        <v>46188</v>
      </c>
      <c r="BI12" s="54" t="n">
        <v>46213</v>
      </c>
      <c r="BJ12" s="50" t="s">
        <v>220</v>
      </c>
      <c r="BK12" s="50" t="s">
        <v>354</v>
      </c>
    </row>
    <row r="13" customFormat="false" ht="15" hidden="false" customHeight="false" outlineLevel="0" collapsed="false">
      <c r="A13" s="49" t="str">
        <f aca="false">IF(B13="","","PC-"&amp;TEXT(ROW()-2,"000"))</f>
        <v>PC-011</v>
      </c>
      <c r="B13" s="50" t="s">
        <v>355</v>
      </c>
      <c r="C13" s="50" t="s">
        <v>356</v>
      </c>
      <c r="D13" s="51" t="s">
        <v>357</v>
      </c>
      <c r="E13" s="51" t="s">
        <v>358</v>
      </c>
      <c r="F13" s="51" t="s">
        <v>217</v>
      </c>
      <c r="G13" s="50" t="s">
        <v>329</v>
      </c>
      <c r="H13" s="50" t="s">
        <v>217</v>
      </c>
      <c r="I13" s="50" t="s">
        <v>264</v>
      </c>
      <c r="J13" s="51" t="s">
        <v>265</v>
      </c>
      <c r="K13" s="50" t="s">
        <v>345</v>
      </c>
      <c r="L13" s="50" t="s">
        <v>359</v>
      </c>
      <c r="M13" s="50" t="s">
        <v>220</v>
      </c>
      <c r="N13" s="50" t="s">
        <v>360</v>
      </c>
      <c r="O13" s="52" t="n">
        <v>400</v>
      </c>
      <c r="P13" s="50" t="s">
        <v>221</v>
      </c>
      <c r="Q13" s="52" t="n">
        <v>1200</v>
      </c>
      <c r="R13" s="52" t="n">
        <v>100</v>
      </c>
      <c r="S13" s="49" t="str">
        <f aca="false">IF(B13="","",IF(OR(O13="",R13=""),"—",IF(O13&lt;=R13,"⚠ RÉAPPRO","OK")))</f>
        <v>OK</v>
      </c>
      <c r="T13" s="50"/>
      <c r="U13" s="50"/>
      <c r="V13" s="50"/>
      <c r="W13" s="50"/>
      <c r="X13" s="50" t="s">
        <v>332</v>
      </c>
      <c r="Y13" s="53" t="str">
        <f aca="false">IF(B13="","",IF(X13="","—",IF(X13="Non classé","Non classé",IFERROR(INDEX(RefH_Classe,MATCH(TRIM(LEFT(X13,FIND(",",X13&amp;",")-1)),RefH_Code,0)),"Code H inconnu"))))</f>
        <v>Non classé</v>
      </c>
      <c r="Z13" s="50" t="s">
        <v>361</v>
      </c>
      <c r="AA13" s="50" t="s">
        <v>334</v>
      </c>
      <c r="AB13" s="51" t="s">
        <v>194</v>
      </c>
      <c r="AC13" s="51" t="s">
        <v>195</v>
      </c>
      <c r="AD13" s="51" t="s">
        <v>194</v>
      </c>
      <c r="AE13" s="51" t="s">
        <v>217</v>
      </c>
      <c r="AF13" s="50" t="s">
        <v>217</v>
      </c>
      <c r="AG13" s="51" t="s">
        <v>198</v>
      </c>
      <c r="AH13" s="54" t="n">
        <v>45321</v>
      </c>
      <c r="AI13" s="51" t="s">
        <v>199</v>
      </c>
      <c r="AJ13" s="55" t="n">
        <f aca="false">IF(AH13="","",EDATE(AH13,60))</f>
        <v>47148</v>
      </c>
      <c r="AK13" s="49" t="str">
        <f aca="true">IF(B13="","",IF(OR(AG13="Non",AH13=""),"FDS ABSENTE",IF(TODAY()&gt;=EDATE(AH13,60),"EXPIRÉE",IF(TODAY()&gt;=EDATE(AH13,54),"À RENOUVELER","CONFORME"))))</f>
        <v>CONFORME</v>
      </c>
      <c r="AL13" s="50" t="s">
        <v>362</v>
      </c>
      <c r="AM13" s="54"/>
      <c r="AN13" s="54"/>
      <c r="AO13" s="50" t="s">
        <v>363</v>
      </c>
      <c r="AP13" s="50" t="s">
        <v>202</v>
      </c>
      <c r="AQ13" s="50" t="s">
        <v>350</v>
      </c>
      <c r="AR13" s="50" t="s">
        <v>364</v>
      </c>
      <c r="AS13" s="50" t="s">
        <v>257</v>
      </c>
      <c r="AT13" s="50" t="s">
        <v>365</v>
      </c>
      <c r="AU13" s="50" t="s">
        <v>366</v>
      </c>
      <c r="AV13" s="50" t="s">
        <v>217</v>
      </c>
      <c r="AW13" s="52" t="n">
        <v>1</v>
      </c>
      <c r="AX13" s="52" t="n">
        <v>3</v>
      </c>
      <c r="AY13" s="56" t="n">
        <f aca="false">IF(OR(AW13="",AX13=""),"",AW13*AX13)</f>
        <v>3</v>
      </c>
      <c r="AZ13" s="52" t="n">
        <v>2</v>
      </c>
      <c r="BA13" s="56" t="n">
        <f aca="false">IF(AY13="","",IF(AZ13="",AY13,ROUNDUP(AY13/AZ13,0)))</f>
        <v>2</v>
      </c>
      <c r="BB13" s="49" t="str">
        <f aca="false">IF(BA13="","",IF(BA13&gt;=15,"P1 – Critique",IF(BA13&gt;=8,"P2 – Élevée",IF(BA13&gt;=4,"P3 – Modérée","P4 – Faible"))))</f>
        <v>P4 – Faible</v>
      </c>
      <c r="BC13" s="50"/>
      <c r="BD13" s="50"/>
      <c r="BE13" s="54"/>
      <c r="BF13" s="57"/>
      <c r="BG13" s="50"/>
      <c r="BH13" s="54" t="n">
        <v>45901</v>
      </c>
      <c r="BI13" s="54" t="n">
        <v>46160</v>
      </c>
      <c r="BJ13" s="50" t="s">
        <v>220</v>
      </c>
      <c r="BK13" s="50" t="s">
        <v>210</v>
      </c>
    </row>
    <row r="14" customFormat="false" ht="22.35" hidden="false" customHeight="false" outlineLevel="0" collapsed="false">
      <c r="A14" s="49" t="str">
        <f aca="false">IF(B14="","","PC-"&amp;TEXT(ROW()-2,"000"))</f>
        <v>PC-012</v>
      </c>
      <c r="B14" s="50" t="s">
        <v>367</v>
      </c>
      <c r="C14" s="50" t="s">
        <v>368</v>
      </c>
      <c r="D14" s="51" t="s">
        <v>250</v>
      </c>
      <c r="E14" s="51" t="s">
        <v>217</v>
      </c>
      <c r="F14" s="51" t="s">
        <v>217</v>
      </c>
      <c r="G14" s="50" t="s">
        <v>329</v>
      </c>
      <c r="H14" s="50" t="s">
        <v>217</v>
      </c>
      <c r="I14" s="50" t="s">
        <v>264</v>
      </c>
      <c r="J14" s="51" t="s">
        <v>265</v>
      </c>
      <c r="K14" s="50" t="s">
        <v>345</v>
      </c>
      <c r="L14" s="50" t="s">
        <v>369</v>
      </c>
      <c r="M14" s="50" t="s">
        <v>220</v>
      </c>
      <c r="N14" s="50" t="s">
        <v>370</v>
      </c>
      <c r="O14" s="52" t="n">
        <v>200</v>
      </c>
      <c r="P14" s="50" t="s">
        <v>188</v>
      </c>
      <c r="Q14" s="52" t="n">
        <v>300</v>
      </c>
      <c r="R14" s="52" t="n">
        <v>50</v>
      </c>
      <c r="S14" s="49" t="str">
        <f aca="false">IF(B14="","",IF(OR(O14="",R14=""),"—",IF(O14&lt;=R14,"⚠ RÉAPPRO","OK")))</f>
        <v>OK</v>
      </c>
      <c r="T14" s="50" t="s">
        <v>190</v>
      </c>
      <c r="U14" s="50"/>
      <c r="V14" s="50"/>
      <c r="W14" s="50"/>
      <c r="X14" s="50" t="s">
        <v>371</v>
      </c>
      <c r="Y14" s="53" t="str">
        <f aca="false">IF(B14="","",IF(X14="","—",IF(X14="Non classé","Non classé",IFERROR(INDEX(RefH_Classe,MATCH(TRIM(LEFT(X14,FIND(",",X14&amp;",")-1)),RefH_Code,0)),"Code H inconnu"))))</f>
        <v>Nocif – irritant</v>
      </c>
      <c r="Z14" s="50" t="s">
        <v>372</v>
      </c>
      <c r="AA14" s="50" t="s">
        <v>254</v>
      </c>
      <c r="AB14" s="51" t="s">
        <v>194</v>
      </c>
      <c r="AC14" s="51" t="s">
        <v>195</v>
      </c>
      <c r="AD14" s="51" t="s">
        <v>194</v>
      </c>
      <c r="AE14" s="51" t="s">
        <v>217</v>
      </c>
      <c r="AF14" s="50" t="s">
        <v>217</v>
      </c>
      <c r="AG14" s="51" t="s">
        <v>198</v>
      </c>
      <c r="AH14" s="54" t="n">
        <v>44430</v>
      </c>
      <c r="AI14" s="51" t="s">
        <v>199</v>
      </c>
      <c r="AJ14" s="55" t="n">
        <f aca="false">IF(AH14="","",EDATE(AH14,60))</f>
        <v>46256</v>
      </c>
      <c r="AK14" s="49" t="str">
        <f aca="true">IF(B14="","",IF(OR(AG14="Non",AH14=""),"FDS ABSENTE",IF(TODAY()&gt;=EDATE(AH14,60),"EXPIRÉE",IF(TODAY()&gt;=EDATE(AH14,54),"À RENOUVELER","CONFORME"))))</f>
        <v>À RENOUVELER</v>
      </c>
      <c r="AL14" s="50" t="s">
        <v>373</v>
      </c>
      <c r="AM14" s="54" t="n">
        <v>46218</v>
      </c>
      <c r="AN14" s="54"/>
      <c r="AO14" s="50" t="s">
        <v>374</v>
      </c>
      <c r="AP14" s="50" t="s">
        <v>375</v>
      </c>
      <c r="AQ14" s="50" t="s">
        <v>203</v>
      </c>
      <c r="AR14" s="50" t="s">
        <v>204</v>
      </c>
      <c r="AS14" s="50" t="s">
        <v>232</v>
      </c>
      <c r="AT14" s="50" t="s">
        <v>217</v>
      </c>
      <c r="AU14" s="50" t="s">
        <v>376</v>
      </c>
      <c r="AV14" s="50" t="s">
        <v>208</v>
      </c>
      <c r="AW14" s="52" t="n">
        <v>2</v>
      </c>
      <c r="AX14" s="52" t="n">
        <v>2</v>
      </c>
      <c r="AY14" s="56" t="n">
        <f aca="false">IF(OR(AW14="",AX14=""),"",AW14*AX14)</f>
        <v>4</v>
      </c>
      <c r="AZ14" s="52" t="n">
        <v>2</v>
      </c>
      <c r="BA14" s="56" t="n">
        <f aca="false">IF(AY14="","",IF(AZ14="",AY14,ROUNDUP(AY14/AZ14,0)))</f>
        <v>2</v>
      </c>
      <c r="BB14" s="49" t="str">
        <f aca="false">IF(BA14="","",IF(BA14&gt;=15,"P1 – Critique",IF(BA14&gt;=8,"P2 – Élevée",IF(BA14&gt;=4,"P3 – Modérée","P4 – Faible"))))</f>
        <v>P4 – Faible</v>
      </c>
      <c r="BC14" s="50"/>
      <c r="BD14" s="50"/>
      <c r="BE14" s="54"/>
      <c r="BF14" s="57"/>
      <c r="BG14" s="50"/>
      <c r="BH14" s="54" t="n">
        <v>45901</v>
      </c>
      <c r="BI14" s="54" t="n">
        <v>46218</v>
      </c>
      <c r="BJ14" s="50" t="s">
        <v>220</v>
      </c>
      <c r="BK14" s="50" t="s">
        <v>377</v>
      </c>
    </row>
    <row r="15" customFormat="false" ht="22.35" hidden="false" customHeight="false" outlineLevel="0" collapsed="false">
      <c r="A15" s="49" t="str">
        <f aca="false">IF(B15="","","PC-"&amp;TEXT(ROW()-2,"000"))</f>
        <v>PC-013</v>
      </c>
      <c r="B15" s="50" t="s">
        <v>378</v>
      </c>
      <c r="C15" s="50" t="s">
        <v>379</v>
      </c>
      <c r="D15" s="51" t="s">
        <v>380</v>
      </c>
      <c r="E15" s="51" t="s">
        <v>381</v>
      </c>
      <c r="F15" s="51" t="s">
        <v>382</v>
      </c>
      <c r="G15" s="50" t="s">
        <v>297</v>
      </c>
      <c r="H15" s="50" t="s">
        <v>217</v>
      </c>
      <c r="I15" s="50" t="s">
        <v>182</v>
      </c>
      <c r="J15" s="51" t="s">
        <v>383</v>
      </c>
      <c r="K15" s="50" t="s">
        <v>345</v>
      </c>
      <c r="L15" s="50" t="s">
        <v>384</v>
      </c>
      <c r="M15" s="50" t="s">
        <v>220</v>
      </c>
      <c r="N15" s="50" t="s">
        <v>385</v>
      </c>
      <c r="O15" s="52" t="n">
        <v>30</v>
      </c>
      <c r="P15" s="50" t="s">
        <v>386</v>
      </c>
      <c r="Q15" s="52" t="n">
        <v>90</v>
      </c>
      <c r="R15" s="52" t="n">
        <v>8</v>
      </c>
      <c r="S15" s="49" t="str">
        <f aca="false">IF(B15="","",IF(OR(O15="",R15=""),"—",IF(O15&lt;=R15,"⚠ RÉAPPRO","OK")))</f>
        <v>OK</v>
      </c>
      <c r="T15" s="50" t="s">
        <v>303</v>
      </c>
      <c r="U15" s="50"/>
      <c r="V15" s="50"/>
      <c r="W15" s="50"/>
      <c r="X15" s="50" t="s">
        <v>387</v>
      </c>
      <c r="Y15" s="53" t="str">
        <f aca="false">IF(B15="","",IF(X15="","—",IF(X15="Non classé","Non classé",IFERROR(INDEX(RefH_Classe,MATCH(TRIM(LEFT(X15,FIND(",",X15&amp;",")-1)),RefH_Code,0)),"Code H inconnu"))))</f>
        <v>Gaz sous pression</v>
      </c>
      <c r="Z15" s="50" t="s">
        <v>388</v>
      </c>
      <c r="AA15" s="50" t="s">
        <v>254</v>
      </c>
      <c r="AB15" s="51" t="s">
        <v>194</v>
      </c>
      <c r="AC15" s="51" t="s">
        <v>195</v>
      </c>
      <c r="AD15" s="51" t="s">
        <v>194</v>
      </c>
      <c r="AE15" s="51" t="s">
        <v>306</v>
      </c>
      <c r="AF15" s="50" t="s">
        <v>389</v>
      </c>
      <c r="AG15" s="51" t="s">
        <v>198</v>
      </c>
      <c r="AH15" s="54" t="n">
        <v>44634</v>
      </c>
      <c r="AI15" s="51" t="s">
        <v>199</v>
      </c>
      <c r="AJ15" s="55" t="n">
        <f aca="false">IF(AH15="","",EDATE(AH15,60))</f>
        <v>46460</v>
      </c>
      <c r="AK15" s="49" t="str">
        <f aca="true">IF(B15="","",IF(OR(AG15="Non",AH15=""),"FDS ABSENTE",IF(TODAY()&gt;=EDATE(AH15,60),"EXPIRÉE",IF(TODAY()&gt;=EDATE(AH15,54),"À RENOUVELER","CONFORME"))))</f>
        <v>CONFORME</v>
      </c>
      <c r="AL15" s="50" t="s">
        <v>390</v>
      </c>
      <c r="AM15" s="54"/>
      <c r="AN15" s="54"/>
      <c r="AO15" s="50" t="s">
        <v>391</v>
      </c>
      <c r="AP15" s="50" t="s">
        <v>202</v>
      </c>
      <c r="AQ15" s="50" t="s">
        <v>203</v>
      </c>
      <c r="AR15" s="50" t="s">
        <v>392</v>
      </c>
      <c r="AS15" s="50" t="s">
        <v>393</v>
      </c>
      <c r="AT15" s="50" t="s">
        <v>217</v>
      </c>
      <c r="AU15" s="50" t="s">
        <v>394</v>
      </c>
      <c r="AV15" s="50" t="s">
        <v>395</v>
      </c>
      <c r="AW15" s="52" t="n">
        <v>3</v>
      </c>
      <c r="AX15" s="52" t="n">
        <v>2</v>
      </c>
      <c r="AY15" s="56" t="n">
        <f aca="false">IF(OR(AW15="",AX15=""),"",AW15*AX15)</f>
        <v>6</v>
      </c>
      <c r="AZ15" s="52" t="n">
        <v>3</v>
      </c>
      <c r="BA15" s="56" t="n">
        <f aca="false">IF(AY15="","",IF(AZ15="",AY15,ROUNDUP(AY15/AZ15,0)))</f>
        <v>2</v>
      </c>
      <c r="BB15" s="49" t="str">
        <f aca="false">IF(BA15="","",IF(BA15&gt;=15,"P1 – Critique",IF(BA15&gt;=8,"P2 – Élevée",IF(BA15&gt;=4,"P3 – Modérée","P4 – Faible"))))</f>
        <v>P4 – Faible</v>
      </c>
      <c r="BC15" s="50"/>
      <c r="BD15" s="50"/>
      <c r="BE15" s="54"/>
      <c r="BF15" s="57"/>
      <c r="BG15" s="50"/>
      <c r="BH15" s="54" t="n">
        <v>45901</v>
      </c>
      <c r="BI15" s="54" t="n">
        <v>46175</v>
      </c>
      <c r="BJ15" s="50" t="s">
        <v>220</v>
      </c>
      <c r="BK15" s="50" t="s">
        <v>210</v>
      </c>
    </row>
    <row r="16" customFormat="false" ht="22.35" hidden="false" customHeight="false" outlineLevel="0" collapsed="false">
      <c r="A16" s="49" t="str">
        <f aca="false">IF(B16="","","PC-"&amp;TEXT(ROW()-2,"000"))</f>
        <v>PC-014</v>
      </c>
      <c r="B16" s="50" t="s">
        <v>396</v>
      </c>
      <c r="C16" s="50" t="s">
        <v>397</v>
      </c>
      <c r="D16" s="51" t="s">
        <v>250</v>
      </c>
      <c r="E16" s="51" t="s">
        <v>217</v>
      </c>
      <c r="F16" s="51" t="s">
        <v>398</v>
      </c>
      <c r="G16" s="50" t="s">
        <v>180</v>
      </c>
      <c r="H16" s="50" t="s">
        <v>217</v>
      </c>
      <c r="I16" s="50" t="s">
        <v>399</v>
      </c>
      <c r="J16" s="51" t="s">
        <v>400</v>
      </c>
      <c r="K16" s="50" t="s">
        <v>184</v>
      </c>
      <c r="L16" s="50" t="s">
        <v>401</v>
      </c>
      <c r="M16" s="50" t="s">
        <v>186</v>
      </c>
      <c r="N16" s="50" t="s">
        <v>281</v>
      </c>
      <c r="O16" s="52" t="n">
        <v>35</v>
      </c>
      <c r="P16" s="50" t="s">
        <v>188</v>
      </c>
      <c r="Q16" s="52" t="n">
        <v>80</v>
      </c>
      <c r="R16" s="52" t="n">
        <v>10</v>
      </c>
      <c r="S16" s="49" t="str">
        <f aca="false">IF(B16="","",IF(OR(O16="",R16=""),"—",IF(O16&lt;=R16,"⚠ RÉAPPRO","OK")))</f>
        <v>OK</v>
      </c>
      <c r="T16" s="50" t="s">
        <v>189</v>
      </c>
      <c r="U16" s="50" t="s">
        <v>190</v>
      </c>
      <c r="V16" s="50"/>
      <c r="W16" s="50"/>
      <c r="X16" s="50" t="s">
        <v>402</v>
      </c>
      <c r="Y16" s="53" t="str">
        <f aca="false">IF(B16="","",IF(X16="","—",IF(X16="Non classé","Non classé",IFERROR(INDEX(RefH_Classe,MATCH(TRIM(LEFT(X16,FIND(",",X16&amp;",")-1)),RefH_Code,0)),"Code H inconnu"))))</f>
        <v>Inflammabilité</v>
      </c>
      <c r="Z16" s="50" t="s">
        <v>403</v>
      </c>
      <c r="AA16" s="50" t="s">
        <v>254</v>
      </c>
      <c r="AB16" s="51" t="s">
        <v>194</v>
      </c>
      <c r="AC16" s="51" t="s">
        <v>195</v>
      </c>
      <c r="AD16" s="51" t="s">
        <v>194</v>
      </c>
      <c r="AE16" s="51" t="s">
        <v>196</v>
      </c>
      <c r="AF16" s="50" t="s">
        <v>217</v>
      </c>
      <c r="AG16" s="51" t="s">
        <v>198</v>
      </c>
      <c r="AH16" s="54" t="n">
        <v>44167</v>
      </c>
      <c r="AI16" s="51" t="s">
        <v>199</v>
      </c>
      <c r="AJ16" s="55" t="n">
        <f aca="false">IF(AH16="","",EDATE(AH16,60))</f>
        <v>45993</v>
      </c>
      <c r="AK16" s="49" t="str">
        <f aca="true">IF(B16="","",IF(OR(AG16="Non",AH16=""),"FDS ABSENTE",IF(TODAY()&gt;=EDATE(AH16,60),"EXPIRÉE",IF(TODAY()&gt;=EDATE(AH16,54),"À RENOUVELER","CONFORME"))))</f>
        <v>EXPIRÉE</v>
      </c>
      <c r="AL16" s="50" t="s">
        <v>404</v>
      </c>
      <c r="AM16" s="54" t="n">
        <v>46178</v>
      </c>
      <c r="AN16" s="54"/>
      <c r="AO16" s="50" t="s">
        <v>405</v>
      </c>
      <c r="AP16" s="50" t="s">
        <v>202</v>
      </c>
      <c r="AQ16" s="50" t="s">
        <v>287</v>
      </c>
      <c r="AR16" s="50" t="s">
        <v>351</v>
      </c>
      <c r="AS16" s="50" t="s">
        <v>406</v>
      </c>
      <c r="AT16" s="50" t="s">
        <v>247</v>
      </c>
      <c r="AU16" s="50" t="s">
        <v>407</v>
      </c>
      <c r="AV16" s="50" t="s">
        <v>208</v>
      </c>
      <c r="AW16" s="52" t="n">
        <v>2</v>
      </c>
      <c r="AX16" s="52" t="n">
        <v>3</v>
      </c>
      <c r="AY16" s="56" t="n">
        <f aca="false">IF(OR(AW16="",AX16=""),"",AW16*AX16)</f>
        <v>6</v>
      </c>
      <c r="AZ16" s="52" t="n">
        <v>3</v>
      </c>
      <c r="BA16" s="56" t="n">
        <f aca="false">IF(AY16="","",IF(AZ16="",AY16,ROUNDUP(AY16/AZ16,0)))</f>
        <v>2</v>
      </c>
      <c r="BB16" s="49" t="str">
        <f aca="false">IF(BA16="","",IF(BA16&gt;=15,"P1 – Critique",IF(BA16&gt;=8,"P2 – Élevée",IF(BA16&gt;=4,"P3 – Modérée","P4 – Faible"))))</f>
        <v>P4 – Faible</v>
      </c>
      <c r="BC16" s="50" t="s">
        <v>408</v>
      </c>
      <c r="BD16" s="50" t="s">
        <v>220</v>
      </c>
      <c r="BE16" s="54" t="n">
        <v>46203</v>
      </c>
      <c r="BF16" s="57" t="n">
        <v>0.3</v>
      </c>
      <c r="BG16" s="50" t="s">
        <v>326</v>
      </c>
      <c r="BH16" s="54" t="n">
        <v>45901</v>
      </c>
      <c r="BI16" s="54" t="n">
        <v>46178</v>
      </c>
      <c r="BJ16" s="50" t="s">
        <v>220</v>
      </c>
      <c r="BK16" s="50" t="s">
        <v>210</v>
      </c>
    </row>
    <row r="17" customFormat="false" ht="22.35" hidden="false" customHeight="false" outlineLevel="0" collapsed="false">
      <c r="A17" s="49" t="str">
        <f aca="false">IF(B17="","","PC-"&amp;TEXT(ROW()-2,"000"))</f>
        <v>PC-015</v>
      </c>
      <c r="B17" s="50" t="s">
        <v>409</v>
      </c>
      <c r="C17" s="50" t="s">
        <v>410</v>
      </c>
      <c r="D17" s="51" t="s">
        <v>314</v>
      </c>
      <c r="E17" s="51" t="s">
        <v>315</v>
      </c>
      <c r="F17" s="51" t="s">
        <v>411</v>
      </c>
      <c r="G17" s="50" t="s">
        <v>216</v>
      </c>
      <c r="H17" s="50" t="s">
        <v>217</v>
      </c>
      <c r="I17" s="50" t="s">
        <v>182</v>
      </c>
      <c r="J17" s="51" t="s">
        <v>299</v>
      </c>
      <c r="K17" s="50" t="s">
        <v>412</v>
      </c>
      <c r="L17" s="50" t="s">
        <v>413</v>
      </c>
      <c r="M17" s="50" t="s">
        <v>414</v>
      </c>
      <c r="N17" s="50" t="s">
        <v>187</v>
      </c>
      <c r="O17" s="52" t="n">
        <v>25</v>
      </c>
      <c r="P17" s="50" t="s">
        <v>188</v>
      </c>
      <c r="Q17" s="52" t="n">
        <v>50</v>
      </c>
      <c r="R17" s="52" t="n">
        <v>8</v>
      </c>
      <c r="S17" s="49" t="str">
        <f aca="false">IF(B17="","",IF(OR(O17="",R17=""),"—",IF(O17&lt;=R17,"⚠ RÉAPPRO","OK")))</f>
        <v>OK</v>
      </c>
      <c r="T17" s="50" t="s">
        <v>222</v>
      </c>
      <c r="U17" s="50"/>
      <c r="V17" s="50"/>
      <c r="W17" s="50"/>
      <c r="X17" s="50" t="s">
        <v>223</v>
      </c>
      <c r="Y17" s="53" t="str">
        <f aca="false">IF(B17="","",IF(X17="","—",IF(X17="Non classé","Non classé",IFERROR(INDEX(RefH_Classe,MATCH(TRIM(LEFT(X17,FIND(",",X17&amp;",")-1)),RefH_Code,0)),"Code H inconnu"))))</f>
        <v>Corrosion</v>
      </c>
      <c r="Z17" s="50" t="s">
        <v>415</v>
      </c>
      <c r="AA17" s="50" t="s">
        <v>193</v>
      </c>
      <c r="AB17" s="51" t="s">
        <v>194</v>
      </c>
      <c r="AC17" s="51" t="s">
        <v>195</v>
      </c>
      <c r="AD17" s="51" t="s">
        <v>194</v>
      </c>
      <c r="AE17" s="51" t="s">
        <v>225</v>
      </c>
      <c r="AF17" s="50" t="s">
        <v>217</v>
      </c>
      <c r="AG17" s="51" t="s">
        <v>198</v>
      </c>
      <c r="AH17" s="54" t="n">
        <v>45847</v>
      </c>
      <c r="AI17" s="51" t="s">
        <v>199</v>
      </c>
      <c r="AJ17" s="55" t="n">
        <f aca="false">IF(AH17="","",EDATE(AH17,60))</f>
        <v>47673</v>
      </c>
      <c r="AK17" s="49" t="str">
        <f aca="true">IF(B17="","",IF(OR(AG17="Non",AH17=""),"FDS ABSENTE",IF(TODAY()&gt;=EDATE(AH17,60),"EXPIRÉE",IF(TODAY()&gt;=EDATE(AH17,54),"À RENOUVELER","CONFORME"))))</f>
        <v>CONFORME</v>
      </c>
      <c r="AL17" s="50" t="s">
        <v>416</v>
      </c>
      <c r="AM17" s="54"/>
      <c r="AN17" s="54"/>
      <c r="AO17" s="50" t="s">
        <v>417</v>
      </c>
      <c r="AP17" s="50" t="s">
        <v>229</v>
      </c>
      <c r="AQ17" s="50" t="s">
        <v>230</v>
      </c>
      <c r="AR17" s="50" t="s">
        <v>270</v>
      </c>
      <c r="AS17" s="50" t="s">
        <v>418</v>
      </c>
      <c r="AT17" s="50" t="s">
        <v>419</v>
      </c>
      <c r="AU17" s="50" t="s">
        <v>420</v>
      </c>
      <c r="AV17" s="50" t="s">
        <v>208</v>
      </c>
      <c r="AW17" s="52" t="n">
        <v>4</v>
      </c>
      <c r="AX17" s="52" t="n">
        <v>2</v>
      </c>
      <c r="AY17" s="56" t="n">
        <f aca="false">IF(OR(AW17="",AX17=""),"",AW17*AX17)</f>
        <v>8</v>
      </c>
      <c r="AZ17" s="52" t="n">
        <v>4</v>
      </c>
      <c r="BA17" s="56" t="n">
        <f aca="false">IF(AY17="","",IF(AZ17="",AY17,ROUNDUP(AY17/AZ17,0)))</f>
        <v>2</v>
      </c>
      <c r="BB17" s="49" t="str">
        <f aca="false">IF(BA17="","",IF(BA17&gt;=15,"P1 – Critique",IF(BA17&gt;=8,"P2 – Élevée",IF(BA17&gt;=4,"P3 – Modérée","P4 – Faible"))))</f>
        <v>P4 – Faible</v>
      </c>
      <c r="BC17" s="50"/>
      <c r="BD17" s="50"/>
      <c r="BE17" s="54"/>
      <c r="BF17" s="57"/>
      <c r="BG17" s="50"/>
      <c r="BH17" s="54" t="n">
        <v>45901</v>
      </c>
      <c r="BI17" s="54" t="n">
        <v>46120</v>
      </c>
      <c r="BJ17" s="50" t="s">
        <v>414</v>
      </c>
      <c r="BK17" s="50" t="s">
        <v>210</v>
      </c>
    </row>
    <row r="18" customFormat="false" ht="22.35" hidden="false" customHeight="false" outlineLevel="0" collapsed="false">
      <c r="A18" s="49" t="str">
        <f aca="false">IF(B18="","","PC-"&amp;TEXT(ROW()-2,"000"))</f>
        <v>PC-016</v>
      </c>
      <c r="B18" s="50" t="s">
        <v>421</v>
      </c>
      <c r="C18" s="50" t="s">
        <v>422</v>
      </c>
      <c r="D18" s="51" t="s">
        <v>423</v>
      </c>
      <c r="E18" s="51" t="s">
        <v>424</v>
      </c>
      <c r="F18" s="51" t="s">
        <v>425</v>
      </c>
      <c r="G18" s="50" t="s">
        <v>180</v>
      </c>
      <c r="H18" s="50" t="s">
        <v>217</v>
      </c>
      <c r="I18" s="50" t="s">
        <v>182</v>
      </c>
      <c r="J18" s="51" t="s">
        <v>183</v>
      </c>
      <c r="K18" s="50" t="s">
        <v>184</v>
      </c>
      <c r="L18" s="50" t="s">
        <v>185</v>
      </c>
      <c r="M18" s="50" t="s">
        <v>186</v>
      </c>
      <c r="N18" s="50" t="s">
        <v>187</v>
      </c>
      <c r="O18" s="52" t="n">
        <v>20</v>
      </c>
      <c r="P18" s="50" t="s">
        <v>188</v>
      </c>
      <c r="Q18" s="52" t="n">
        <v>60</v>
      </c>
      <c r="R18" s="52" t="n">
        <v>25</v>
      </c>
      <c r="S18" s="49" t="str">
        <f aca="false">IF(B18="","",IF(OR(O18="",R18=""),"—",IF(O18&lt;=R18,"⚠ RÉAPPRO","OK")))</f>
        <v>⚠ RÉAPPRO</v>
      </c>
      <c r="T18" s="50" t="s">
        <v>189</v>
      </c>
      <c r="U18" s="50" t="s">
        <v>190</v>
      </c>
      <c r="V18" s="50"/>
      <c r="W18" s="50"/>
      <c r="X18" s="50" t="s">
        <v>191</v>
      </c>
      <c r="Y18" s="53" t="str">
        <f aca="false">IF(B18="","",IF(X18="","—",IF(X18="Non classé","Non classé",IFERROR(INDEX(RefH_Classe,MATCH(TRIM(LEFT(X18,FIND(",",X18&amp;",")-1)),RefH_Code,0)),"Code H inconnu"))))</f>
        <v>Inflammabilité</v>
      </c>
      <c r="Z18" s="50" t="s">
        <v>426</v>
      </c>
      <c r="AA18" s="50" t="s">
        <v>193</v>
      </c>
      <c r="AB18" s="51" t="s">
        <v>194</v>
      </c>
      <c r="AC18" s="51" t="s">
        <v>195</v>
      </c>
      <c r="AD18" s="51" t="s">
        <v>194</v>
      </c>
      <c r="AE18" s="51" t="s">
        <v>196</v>
      </c>
      <c r="AF18" s="50" t="s">
        <v>217</v>
      </c>
      <c r="AG18" s="51" t="s">
        <v>198</v>
      </c>
      <c r="AH18" s="54" t="n">
        <v>45819</v>
      </c>
      <c r="AI18" s="51" t="s">
        <v>199</v>
      </c>
      <c r="AJ18" s="55" t="n">
        <f aca="false">IF(AH18="","",EDATE(AH18,60))</f>
        <v>47645</v>
      </c>
      <c r="AK18" s="49" t="str">
        <f aca="true">IF(B18="","",IF(OR(AG18="Non",AH18=""),"FDS ABSENTE",IF(TODAY()&gt;=EDATE(AH18,60),"EXPIRÉE",IF(TODAY()&gt;=EDATE(AH18,54),"À RENOUVELER","CONFORME"))))</f>
        <v>CONFORME</v>
      </c>
      <c r="AL18" s="50" t="s">
        <v>427</v>
      </c>
      <c r="AM18" s="54"/>
      <c r="AN18" s="54"/>
      <c r="AO18" s="50" t="s">
        <v>428</v>
      </c>
      <c r="AP18" s="50" t="s">
        <v>202</v>
      </c>
      <c r="AQ18" s="50" t="s">
        <v>203</v>
      </c>
      <c r="AR18" s="50" t="s">
        <v>204</v>
      </c>
      <c r="AS18" s="50" t="s">
        <v>205</v>
      </c>
      <c r="AT18" s="50" t="s">
        <v>247</v>
      </c>
      <c r="AU18" s="50" t="s">
        <v>207</v>
      </c>
      <c r="AV18" s="50" t="s">
        <v>208</v>
      </c>
      <c r="AW18" s="52" t="n">
        <v>2</v>
      </c>
      <c r="AX18" s="52" t="n">
        <v>3</v>
      </c>
      <c r="AY18" s="56" t="n">
        <f aca="false">IF(OR(AW18="",AX18=""),"",AW18*AX18)</f>
        <v>6</v>
      </c>
      <c r="AZ18" s="52" t="n">
        <v>3</v>
      </c>
      <c r="BA18" s="56" t="n">
        <f aca="false">IF(AY18="","",IF(AZ18="",AY18,ROUNDUP(AY18/AZ18,0)))</f>
        <v>2</v>
      </c>
      <c r="BB18" s="49" t="str">
        <f aca="false">IF(BA18="","",IF(BA18&gt;=15,"P1 – Critique",IF(BA18&gt;=8,"P2 – Élevée",IF(BA18&gt;=4,"P3 – Modérée","P4 – Faible"))))</f>
        <v>P4 – Faible</v>
      </c>
      <c r="BC18" s="50"/>
      <c r="BD18" s="50"/>
      <c r="BE18" s="54"/>
      <c r="BF18" s="57"/>
      <c r="BG18" s="50"/>
      <c r="BH18" s="54" t="n">
        <v>45901</v>
      </c>
      <c r="BI18" s="54" t="n">
        <v>46184</v>
      </c>
      <c r="BJ18" s="50" t="s">
        <v>186</v>
      </c>
      <c r="BK18" s="50" t="s">
        <v>429</v>
      </c>
    </row>
    <row r="19" customFormat="false" ht="22.35" hidden="false" customHeight="false" outlineLevel="0" collapsed="false">
      <c r="A19" s="49" t="str">
        <f aca="false">IF(B19="","","PC-"&amp;TEXT(ROW()-2,"000"))</f>
        <v>PC-017</v>
      </c>
      <c r="B19" s="50" t="s">
        <v>430</v>
      </c>
      <c r="C19" s="50" t="s">
        <v>431</v>
      </c>
      <c r="D19" s="51" t="s">
        <v>250</v>
      </c>
      <c r="E19" s="51" t="s">
        <v>217</v>
      </c>
      <c r="F19" s="51" t="s">
        <v>432</v>
      </c>
      <c r="G19" s="50" t="s">
        <v>329</v>
      </c>
      <c r="H19" s="50" t="s">
        <v>217</v>
      </c>
      <c r="I19" s="50" t="s">
        <v>182</v>
      </c>
      <c r="J19" s="51" t="s">
        <v>433</v>
      </c>
      <c r="K19" s="50" t="s">
        <v>434</v>
      </c>
      <c r="L19" s="50" t="s">
        <v>435</v>
      </c>
      <c r="M19" s="50" t="s">
        <v>414</v>
      </c>
      <c r="N19" s="50" t="s">
        <v>436</v>
      </c>
      <c r="O19" s="52" t="n">
        <v>120</v>
      </c>
      <c r="P19" s="50" t="s">
        <v>437</v>
      </c>
      <c r="Q19" s="52" t="n">
        <v>400</v>
      </c>
      <c r="R19" s="52" t="n">
        <v>30</v>
      </c>
      <c r="S19" s="49" t="str">
        <f aca="false">IF(B19="","",IF(OR(O19="",R19=""),"—",IF(O19&lt;=R19,"⚠ RÉAPPRO","OK")))</f>
        <v>OK</v>
      </c>
      <c r="T19" s="50" t="s">
        <v>189</v>
      </c>
      <c r="U19" s="50"/>
      <c r="V19" s="50"/>
      <c r="W19" s="50"/>
      <c r="X19" s="50" t="s">
        <v>438</v>
      </c>
      <c r="Y19" s="53" t="str">
        <f aca="false">IF(B19="","",IF(X19="","—",IF(X19="Non classé","Non classé",IFERROR(INDEX(RefH_Classe,MATCH(TRIM(LEFT(X19,FIND(",",X19&amp;",")-1)),RefH_Code,0)),"Code H inconnu"))))</f>
        <v>Inflammabilité</v>
      </c>
      <c r="Z19" s="50" t="s">
        <v>439</v>
      </c>
      <c r="AA19" s="50" t="s">
        <v>193</v>
      </c>
      <c r="AB19" s="51" t="s">
        <v>194</v>
      </c>
      <c r="AC19" s="51" t="s">
        <v>195</v>
      </c>
      <c r="AD19" s="51" t="s">
        <v>194</v>
      </c>
      <c r="AE19" s="51" t="s">
        <v>440</v>
      </c>
      <c r="AF19" s="50" t="s">
        <v>217</v>
      </c>
      <c r="AG19" s="51" t="s">
        <v>198</v>
      </c>
      <c r="AH19" s="54" t="n">
        <v>45196</v>
      </c>
      <c r="AI19" s="51" t="s">
        <v>199</v>
      </c>
      <c r="AJ19" s="55" t="n">
        <f aca="false">IF(AH19="","",EDATE(AH19,60))</f>
        <v>47023</v>
      </c>
      <c r="AK19" s="49" t="str">
        <f aca="true">IF(B19="","",IF(OR(AG19="Non",AH19=""),"FDS ABSENTE",IF(TODAY()&gt;=EDATE(AH19,60),"EXPIRÉE",IF(TODAY()&gt;=EDATE(AH19,54),"À RENOUVELER","CONFORME"))))</f>
        <v>CONFORME</v>
      </c>
      <c r="AL19" s="50" t="s">
        <v>441</v>
      </c>
      <c r="AM19" s="54"/>
      <c r="AN19" s="54"/>
      <c r="AO19" s="50" t="s">
        <v>442</v>
      </c>
      <c r="AP19" s="50" t="s">
        <v>202</v>
      </c>
      <c r="AQ19" s="50" t="s">
        <v>350</v>
      </c>
      <c r="AR19" s="50" t="s">
        <v>217</v>
      </c>
      <c r="AS19" s="50" t="s">
        <v>443</v>
      </c>
      <c r="AT19" s="50" t="s">
        <v>444</v>
      </c>
      <c r="AU19" s="50" t="s">
        <v>445</v>
      </c>
      <c r="AV19" s="50" t="s">
        <v>217</v>
      </c>
      <c r="AW19" s="52" t="n">
        <v>2</v>
      </c>
      <c r="AX19" s="52" t="n">
        <v>4</v>
      </c>
      <c r="AY19" s="56" t="n">
        <f aca="false">IF(OR(AW19="",AX19=""),"",AW19*AX19)</f>
        <v>8</v>
      </c>
      <c r="AZ19" s="52" t="n">
        <v>3</v>
      </c>
      <c r="BA19" s="56" t="n">
        <f aca="false">IF(AY19="","",IF(AZ19="",AY19,ROUNDUP(AY19/AZ19,0)))</f>
        <v>3</v>
      </c>
      <c r="BB19" s="49" t="str">
        <f aca="false">IF(BA19="","",IF(BA19&gt;=15,"P1 – Critique",IF(BA19&gt;=8,"P2 – Élevée",IF(BA19&gt;=4,"P3 – Modérée","P4 – Faible"))))</f>
        <v>P4 – Faible</v>
      </c>
      <c r="BC19" s="50"/>
      <c r="BD19" s="50"/>
      <c r="BE19" s="54"/>
      <c r="BF19" s="57"/>
      <c r="BG19" s="50"/>
      <c r="BH19" s="54" t="n">
        <v>45901</v>
      </c>
      <c r="BI19" s="54" t="n">
        <v>46169</v>
      </c>
      <c r="BJ19" s="50" t="s">
        <v>414</v>
      </c>
      <c r="BK19" s="50" t="s">
        <v>210</v>
      </c>
    </row>
    <row r="20" customFormat="false" ht="22.35" hidden="false" customHeight="false" outlineLevel="0" collapsed="false">
      <c r="A20" s="49" t="str">
        <f aca="false">IF(B20="","","PC-"&amp;TEXT(ROW()-2,"000"))</f>
        <v>PC-018</v>
      </c>
      <c r="B20" s="50" t="s">
        <v>446</v>
      </c>
      <c r="C20" s="50" t="s">
        <v>447</v>
      </c>
      <c r="D20" s="51" t="s">
        <v>250</v>
      </c>
      <c r="E20" s="51" t="s">
        <v>217</v>
      </c>
      <c r="F20" s="51" t="s">
        <v>448</v>
      </c>
      <c r="G20" s="50" t="s">
        <v>344</v>
      </c>
      <c r="H20" s="50" t="s">
        <v>217</v>
      </c>
      <c r="I20" s="50" t="s">
        <v>399</v>
      </c>
      <c r="J20" s="51" t="s">
        <v>400</v>
      </c>
      <c r="K20" s="50" t="s">
        <v>184</v>
      </c>
      <c r="L20" s="50" t="s">
        <v>401</v>
      </c>
      <c r="M20" s="50" t="s">
        <v>186</v>
      </c>
      <c r="N20" s="50" t="s">
        <v>187</v>
      </c>
      <c r="O20" s="52" t="n">
        <v>10</v>
      </c>
      <c r="P20" s="50" t="s">
        <v>188</v>
      </c>
      <c r="Q20" s="52" t="n">
        <v>25</v>
      </c>
      <c r="R20" s="52" t="n">
        <v>12</v>
      </c>
      <c r="S20" s="49" t="str">
        <f aca="false">IF(B20="","",IF(OR(O20="",R20=""),"—",IF(O20&lt;=R20,"⚠ RÉAPPRO","OK")))</f>
        <v>⚠ RÉAPPRO</v>
      </c>
      <c r="T20" s="50" t="s">
        <v>189</v>
      </c>
      <c r="U20" s="50" t="s">
        <v>190</v>
      </c>
      <c r="V20" s="50" t="s">
        <v>241</v>
      </c>
      <c r="W20" s="50"/>
      <c r="X20" s="50" t="s">
        <v>449</v>
      </c>
      <c r="Y20" s="53" t="str">
        <f aca="false">IF(B20="","",IF(X20="","—",IF(X20="Non classé","Non classé",IFERROR(INDEX(RefH_Classe,MATCH(TRIM(LEFT(X20,FIND(",",X20&amp;",")-1)),RefH_Code,0)),"Code H inconnu"))))</f>
        <v>Inflammabilité</v>
      </c>
      <c r="Z20" s="50" t="s">
        <v>450</v>
      </c>
      <c r="AA20" s="50" t="s">
        <v>193</v>
      </c>
      <c r="AB20" s="51" t="s">
        <v>194</v>
      </c>
      <c r="AC20" s="51" t="s">
        <v>195</v>
      </c>
      <c r="AD20" s="51" t="s">
        <v>194</v>
      </c>
      <c r="AE20" s="51" t="s">
        <v>196</v>
      </c>
      <c r="AF20" s="50" t="s">
        <v>217</v>
      </c>
      <c r="AG20" s="51" t="s">
        <v>194</v>
      </c>
      <c r="AH20" s="54"/>
      <c r="AI20" s="51"/>
      <c r="AJ20" s="55" t="str">
        <f aca="false">IF(AH20="","",EDATE(AH20,60))</f>
        <v/>
      </c>
      <c r="AK20" s="49" t="str">
        <f aca="true">IF(B20="","",IF(OR(AG20="Non",AH20=""),"FDS ABSENTE",IF(TODAY()&gt;=EDATE(AH20,60),"EXPIRÉE",IF(TODAY()&gt;=EDATE(AH20,54),"À RENOUVELER","CONFORME"))))</f>
        <v>FDS ABSENTE</v>
      </c>
      <c r="AL20" s="50"/>
      <c r="AM20" s="54"/>
      <c r="AN20" s="54"/>
      <c r="AO20" s="50" t="s">
        <v>451</v>
      </c>
      <c r="AP20" s="50" t="s">
        <v>202</v>
      </c>
      <c r="AQ20" s="50" t="s">
        <v>287</v>
      </c>
      <c r="AR20" s="50" t="s">
        <v>351</v>
      </c>
      <c r="AS20" s="50" t="s">
        <v>205</v>
      </c>
      <c r="AT20" s="50" t="s">
        <v>247</v>
      </c>
      <c r="AU20" s="50" t="s">
        <v>290</v>
      </c>
      <c r="AV20" s="50" t="s">
        <v>208</v>
      </c>
      <c r="AW20" s="52" t="n">
        <v>3</v>
      </c>
      <c r="AX20" s="52" t="n">
        <v>2</v>
      </c>
      <c r="AY20" s="56" t="n">
        <f aca="false">IF(OR(AW20="",AX20=""),"",AW20*AX20)</f>
        <v>6</v>
      </c>
      <c r="AZ20" s="52" t="n">
        <v>1</v>
      </c>
      <c r="BA20" s="56" t="n">
        <f aca="false">IF(AY20="","",IF(AZ20="",AY20,ROUNDUP(AY20/AZ20,0)))</f>
        <v>6</v>
      </c>
      <c r="BB20" s="49" t="str">
        <f aca="false">IF(BA20="","",IF(BA20&gt;=15,"P1 – Critique",IF(BA20&gt;=8,"P2 – Élevée",IF(BA20&gt;=4,"P3 – Modérée","P4 – Faible"))))</f>
        <v>P3 – Modérée</v>
      </c>
      <c r="BC20" s="50" t="s">
        <v>452</v>
      </c>
      <c r="BD20" s="50" t="s">
        <v>220</v>
      </c>
      <c r="BE20" s="54" t="n">
        <v>46249</v>
      </c>
      <c r="BF20" s="57" t="n">
        <v>0</v>
      </c>
      <c r="BG20" s="50" t="s">
        <v>353</v>
      </c>
      <c r="BH20" s="54" t="n">
        <v>46162</v>
      </c>
      <c r="BI20" s="54" t="n">
        <v>46208</v>
      </c>
      <c r="BJ20" s="50" t="s">
        <v>220</v>
      </c>
      <c r="BK20" s="50" t="s">
        <v>453</v>
      </c>
    </row>
    <row r="21" customFormat="false" ht="22.35" hidden="false" customHeight="false" outlineLevel="0" collapsed="false">
      <c r="A21" s="49" t="str">
        <f aca="false">IF(B21="","","PC-"&amp;TEXT(ROW()-2,"000"))</f>
        <v>PC-019</v>
      </c>
      <c r="B21" s="50" t="s">
        <v>454</v>
      </c>
      <c r="C21" s="50" t="s">
        <v>455</v>
      </c>
      <c r="D21" s="51" t="s">
        <v>456</v>
      </c>
      <c r="E21" s="51" t="s">
        <v>457</v>
      </c>
      <c r="F21" s="51" t="s">
        <v>458</v>
      </c>
      <c r="G21" s="50" t="s">
        <v>216</v>
      </c>
      <c r="H21" s="50" t="s">
        <v>217</v>
      </c>
      <c r="I21" s="50" t="s">
        <v>182</v>
      </c>
      <c r="J21" s="51" t="s">
        <v>183</v>
      </c>
      <c r="K21" s="50" t="s">
        <v>184</v>
      </c>
      <c r="L21" s="50" t="s">
        <v>459</v>
      </c>
      <c r="M21" s="50" t="s">
        <v>209</v>
      </c>
      <c r="N21" s="50" t="s">
        <v>187</v>
      </c>
      <c r="O21" s="52" t="n">
        <v>15</v>
      </c>
      <c r="P21" s="50" t="s">
        <v>188</v>
      </c>
      <c r="Q21" s="52" t="n">
        <v>30</v>
      </c>
      <c r="R21" s="52" t="n">
        <v>5</v>
      </c>
      <c r="S21" s="49" t="str">
        <f aca="false">IF(B21="","",IF(OR(O21="",R21=""),"—",IF(O21&lt;=R21,"⚠ RÉAPPRO","OK")))</f>
        <v>OK</v>
      </c>
      <c r="T21" s="50" t="s">
        <v>240</v>
      </c>
      <c r="U21" s="50" t="s">
        <v>190</v>
      </c>
      <c r="V21" s="50"/>
      <c r="W21" s="50"/>
      <c r="X21" s="50" t="s">
        <v>460</v>
      </c>
      <c r="Y21" s="53" t="str">
        <f aca="false">IF(B21="","",IF(X21="","—",IF(X21="Non classé","Non classé",IFERROR(INDEX(RefH_Classe,MATCH(TRIM(LEFT(X21,FIND(",",X21&amp;",")-1)),RefH_Code,0)),"Code H inconnu"))))</f>
        <v>CMR – Cancérogène cat. 1</v>
      </c>
      <c r="Z21" s="50" t="s">
        <v>461</v>
      </c>
      <c r="AA21" s="50" t="s">
        <v>193</v>
      </c>
      <c r="AB21" s="51" t="s">
        <v>198</v>
      </c>
      <c r="AC21" s="51" t="s">
        <v>462</v>
      </c>
      <c r="AD21" s="51" t="s">
        <v>198</v>
      </c>
      <c r="AE21" s="51" t="s">
        <v>463</v>
      </c>
      <c r="AF21" s="50" t="s">
        <v>244</v>
      </c>
      <c r="AG21" s="51" t="s">
        <v>198</v>
      </c>
      <c r="AH21" s="54" t="n">
        <v>45401</v>
      </c>
      <c r="AI21" s="51" t="s">
        <v>199</v>
      </c>
      <c r="AJ21" s="55" t="n">
        <f aca="false">IF(AH21="","",EDATE(AH21,60))</f>
        <v>47227</v>
      </c>
      <c r="AK21" s="49" t="str">
        <f aca="true">IF(B21="","",IF(OR(AG21="Non",AH21=""),"FDS ABSENTE",IF(TODAY()&gt;=EDATE(AH21,60),"EXPIRÉE",IF(TODAY()&gt;=EDATE(AH21,54),"À RENOUVELER","CONFORME"))))</f>
        <v>CONFORME</v>
      </c>
      <c r="AL21" s="50" t="s">
        <v>464</v>
      </c>
      <c r="AM21" s="54"/>
      <c r="AN21" s="54"/>
      <c r="AO21" s="50" t="s">
        <v>465</v>
      </c>
      <c r="AP21" s="50" t="s">
        <v>202</v>
      </c>
      <c r="AQ21" s="50" t="s">
        <v>287</v>
      </c>
      <c r="AR21" s="50" t="s">
        <v>466</v>
      </c>
      <c r="AS21" s="50" t="s">
        <v>467</v>
      </c>
      <c r="AT21" s="50" t="s">
        <v>468</v>
      </c>
      <c r="AU21" s="50" t="s">
        <v>469</v>
      </c>
      <c r="AV21" s="50" t="s">
        <v>208</v>
      </c>
      <c r="AW21" s="52" t="n">
        <v>5</v>
      </c>
      <c r="AX21" s="52" t="n">
        <v>3</v>
      </c>
      <c r="AY21" s="56" t="n">
        <f aca="false">IF(OR(AW21="",AX21=""),"",AW21*AX21)</f>
        <v>15</v>
      </c>
      <c r="AZ21" s="52" t="n">
        <v>3</v>
      </c>
      <c r="BA21" s="56" t="n">
        <f aca="false">IF(AY21="","",IF(AZ21="",AY21,ROUNDUP(AY21/AZ21,0)))</f>
        <v>5</v>
      </c>
      <c r="BB21" s="49" t="str">
        <f aca="false">IF(BA21="","",IF(BA21&gt;=15,"P1 – Critique",IF(BA21&gt;=8,"P2 – Élevée",IF(BA21&gt;=4,"P3 – Modérée","P4 – Faible"))))</f>
        <v>P3 – Modérée</v>
      </c>
      <c r="BC21" s="50" t="s">
        <v>470</v>
      </c>
      <c r="BD21" s="50" t="s">
        <v>209</v>
      </c>
      <c r="BE21" s="54" t="n">
        <v>46387</v>
      </c>
      <c r="BF21" s="57" t="n">
        <v>0.2</v>
      </c>
      <c r="BG21" s="50" t="s">
        <v>326</v>
      </c>
      <c r="BH21" s="54" t="n">
        <v>45901</v>
      </c>
      <c r="BI21" s="54" t="n">
        <v>46205</v>
      </c>
      <c r="BJ21" s="50" t="s">
        <v>209</v>
      </c>
      <c r="BK21" s="50" t="s">
        <v>471</v>
      </c>
    </row>
    <row r="22" customFormat="false" ht="22.35" hidden="false" customHeight="false" outlineLevel="0" collapsed="false">
      <c r="A22" s="49" t="str">
        <f aca="false">IF(B22="","","PC-"&amp;TEXT(ROW()-2,"000"))</f>
        <v>PC-020</v>
      </c>
      <c r="B22" s="50" t="s">
        <v>472</v>
      </c>
      <c r="C22" s="50" t="s">
        <v>473</v>
      </c>
      <c r="D22" s="51" t="s">
        <v>474</v>
      </c>
      <c r="E22" s="51" t="s">
        <v>475</v>
      </c>
      <c r="F22" s="51" t="s">
        <v>476</v>
      </c>
      <c r="G22" s="50" t="s">
        <v>477</v>
      </c>
      <c r="H22" s="50" t="s">
        <v>217</v>
      </c>
      <c r="I22" s="50" t="s">
        <v>182</v>
      </c>
      <c r="J22" s="51" t="s">
        <v>383</v>
      </c>
      <c r="K22" s="50" t="s">
        <v>478</v>
      </c>
      <c r="L22" s="50" t="s">
        <v>479</v>
      </c>
      <c r="M22" s="50" t="s">
        <v>414</v>
      </c>
      <c r="N22" s="50" t="s">
        <v>370</v>
      </c>
      <c r="O22" s="52" t="n">
        <v>1000</v>
      </c>
      <c r="P22" s="50" t="s">
        <v>188</v>
      </c>
      <c r="Q22" s="52" t="n">
        <v>6000</v>
      </c>
      <c r="R22" s="52" t="n">
        <v>200</v>
      </c>
      <c r="S22" s="49" t="str">
        <f aca="false">IF(B22="","",IF(OR(O22="",R22=""),"—",IF(O22&lt;=R22,"⚠ RÉAPPRO","OK")))</f>
        <v>OK</v>
      </c>
      <c r="T22" s="50" t="s">
        <v>189</v>
      </c>
      <c r="U22" s="50" t="s">
        <v>190</v>
      </c>
      <c r="V22" s="50" t="s">
        <v>240</v>
      </c>
      <c r="W22" s="50" t="s">
        <v>241</v>
      </c>
      <c r="X22" s="50" t="s">
        <v>480</v>
      </c>
      <c r="Y22" s="53" t="str">
        <f aca="false">IF(B22="","",IF(X22="","—",IF(X22="Non classé","Non classé",IFERROR(INDEX(RefH_Classe,MATCH(TRIM(LEFT(X22,FIND(",",X22&amp;",")-1)),RefH_Code,0)),"Code H inconnu"))))</f>
        <v>Inflammabilité</v>
      </c>
      <c r="Z22" s="50" t="s">
        <v>481</v>
      </c>
      <c r="AA22" s="50" t="s">
        <v>193</v>
      </c>
      <c r="AB22" s="51" t="s">
        <v>198</v>
      </c>
      <c r="AC22" s="51" t="s">
        <v>482</v>
      </c>
      <c r="AD22" s="51" t="s">
        <v>194</v>
      </c>
      <c r="AE22" s="51" t="s">
        <v>196</v>
      </c>
      <c r="AF22" s="50" t="s">
        <v>217</v>
      </c>
      <c r="AG22" s="51" t="s">
        <v>198</v>
      </c>
      <c r="AH22" s="54" t="n">
        <v>45663</v>
      </c>
      <c r="AI22" s="51" t="s">
        <v>199</v>
      </c>
      <c r="AJ22" s="55" t="n">
        <f aca="false">IF(AH22="","",EDATE(AH22,60))</f>
        <v>47489</v>
      </c>
      <c r="AK22" s="49" t="str">
        <f aca="true">IF(B22="","",IF(OR(AG22="Non",AH22=""),"FDS ABSENTE",IF(TODAY()&gt;=EDATE(AH22,60),"EXPIRÉE",IF(TODAY()&gt;=EDATE(AH22,54),"À RENOUVELER","CONFORME"))))</f>
        <v>CONFORME</v>
      </c>
      <c r="AL22" s="50" t="s">
        <v>483</v>
      </c>
      <c r="AM22" s="54"/>
      <c r="AN22" s="54"/>
      <c r="AO22" s="50" t="s">
        <v>484</v>
      </c>
      <c r="AP22" s="50" t="s">
        <v>202</v>
      </c>
      <c r="AQ22" s="50" t="s">
        <v>230</v>
      </c>
      <c r="AR22" s="50" t="s">
        <v>204</v>
      </c>
      <c r="AS22" s="50" t="s">
        <v>485</v>
      </c>
      <c r="AT22" s="50" t="s">
        <v>486</v>
      </c>
      <c r="AU22" s="50" t="s">
        <v>487</v>
      </c>
      <c r="AV22" s="50" t="s">
        <v>208</v>
      </c>
      <c r="AW22" s="52" t="n">
        <v>4</v>
      </c>
      <c r="AX22" s="52" t="n">
        <v>3</v>
      </c>
      <c r="AY22" s="56" t="n">
        <f aca="false">IF(OR(AW22="",AX22=""),"",AW22*AX22)</f>
        <v>12</v>
      </c>
      <c r="AZ22" s="52" t="n">
        <v>4</v>
      </c>
      <c r="BA22" s="56" t="n">
        <f aca="false">IF(AY22="","",IF(AZ22="",AY22,ROUNDUP(AY22/AZ22,0)))</f>
        <v>3</v>
      </c>
      <c r="BB22" s="49" t="str">
        <f aca="false">IF(BA22="","",IF(BA22&gt;=15,"P1 – Critique",IF(BA22&gt;=8,"P2 – Élevée",IF(BA22&gt;=4,"P3 – Modérée","P4 – Faible"))))</f>
        <v>P4 – Faible</v>
      </c>
      <c r="BC22" s="50"/>
      <c r="BD22" s="50"/>
      <c r="BE22" s="54"/>
      <c r="BF22" s="57"/>
      <c r="BG22" s="50"/>
      <c r="BH22" s="54" t="n">
        <v>45901</v>
      </c>
      <c r="BI22" s="54" t="n">
        <v>46204</v>
      </c>
      <c r="BJ22" s="50" t="s">
        <v>414</v>
      </c>
      <c r="BK22" s="50" t="s">
        <v>488</v>
      </c>
    </row>
    <row r="23" customFormat="false" ht="15" hidden="false" customHeight="false" outlineLevel="0" collapsed="false">
      <c r="A23" s="49" t="str">
        <f aca="false">IF(B23="","","PC-"&amp;TEXT(ROW()-2,"000"))</f>
        <v/>
      </c>
      <c r="B23" s="50"/>
      <c r="C23" s="50"/>
      <c r="D23" s="51"/>
      <c r="E23" s="51"/>
      <c r="F23" s="51"/>
      <c r="G23" s="50"/>
      <c r="H23" s="50"/>
      <c r="I23" s="50"/>
      <c r="J23" s="51"/>
      <c r="K23" s="50"/>
      <c r="L23" s="50"/>
      <c r="M23" s="50"/>
      <c r="N23" s="50"/>
      <c r="O23" s="52"/>
      <c r="P23" s="50"/>
      <c r="Q23" s="52"/>
      <c r="R23" s="52"/>
      <c r="S23" s="49" t="str">
        <f aca="false">IF(B23="","",IF(OR(O23="",R23=""),"—",IF(O23&lt;=R23,"⚠ RÉAPPRO","OK")))</f>
        <v/>
      </c>
      <c r="T23" s="50"/>
      <c r="U23" s="50"/>
      <c r="V23" s="50"/>
      <c r="W23" s="50"/>
      <c r="X23" s="50"/>
      <c r="Y23" s="53" t="str">
        <f aca="false">IF(B23="","",IF(X23="","—",IF(X23="Non classé","Non classé",IFERROR(INDEX(RefH_Classe,MATCH(TRIM(LEFT(X23,FIND(",",X23&amp;",")-1)),RefH_Code,0)),"Code H inconnu"))))</f>
        <v/>
      </c>
      <c r="Z23" s="50"/>
      <c r="AA23" s="50"/>
      <c r="AB23" s="51"/>
      <c r="AC23" s="51"/>
      <c r="AD23" s="51"/>
      <c r="AE23" s="51"/>
      <c r="AF23" s="50"/>
      <c r="AG23" s="51"/>
      <c r="AH23" s="54"/>
      <c r="AI23" s="51"/>
      <c r="AJ23" s="55" t="str">
        <f aca="false">IF(AH23="","",EDATE(AH23,60))</f>
        <v/>
      </c>
      <c r="AK23" s="49" t="str">
        <f aca="true">IF(B23="","",IF(OR(AG23="Non",AH23=""),"FDS ABSENTE",IF(TODAY()&gt;=EDATE(AH23,60),"EXPIRÉE",IF(TODAY()&gt;=EDATE(AH23,54),"À RENOUVELER","CONFORME"))))</f>
        <v/>
      </c>
      <c r="AL23" s="50"/>
      <c r="AM23" s="54"/>
      <c r="AN23" s="54"/>
      <c r="AO23" s="50"/>
      <c r="AP23" s="50"/>
      <c r="AQ23" s="50"/>
      <c r="AR23" s="50"/>
      <c r="AS23" s="50"/>
      <c r="AT23" s="50"/>
      <c r="AU23" s="50"/>
      <c r="AV23" s="50"/>
      <c r="AW23" s="52"/>
      <c r="AX23" s="52"/>
      <c r="AY23" s="56" t="str">
        <f aca="false">IF(OR(AW23="",AX23=""),"",AW23*AX23)</f>
        <v/>
      </c>
      <c r="AZ23" s="52"/>
      <c r="BA23" s="56" t="str">
        <f aca="false">IF(AY23="","",IF(AZ23="",AY23,ROUNDUP(AY23/AZ23,0)))</f>
        <v/>
      </c>
      <c r="BB23" s="49" t="str">
        <f aca="false">IF(BA23="","",IF(BA23&gt;=15,"P1 – Critique",IF(BA23&gt;=8,"P2 – Élevée",IF(BA23&gt;=4,"P3 – Modérée","P4 – Faible"))))</f>
        <v/>
      </c>
      <c r="BC23" s="50"/>
      <c r="BD23" s="50"/>
      <c r="BE23" s="54"/>
      <c r="BF23" s="57"/>
      <c r="BG23" s="50"/>
      <c r="BH23" s="54"/>
      <c r="BI23" s="54"/>
      <c r="BJ23" s="50"/>
      <c r="BK23" s="50"/>
    </row>
    <row r="24" customFormat="false" ht="15" hidden="false" customHeight="false" outlineLevel="0" collapsed="false">
      <c r="A24" s="49" t="str">
        <f aca="false">IF(B24="","","PC-"&amp;TEXT(ROW()-2,"000"))</f>
        <v/>
      </c>
      <c r="B24" s="50"/>
      <c r="C24" s="50"/>
      <c r="D24" s="51"/>
      <c r="E24" s="51"/>
      <c r="F24" s="51"/>
      <c r="G24" s="50"/>
      <c r="H24" s="50"/>
      <c r="I24" s="50"/>
      <c r="J24" s="51"/>
      <c r="K24" s="50"/>
      <c r="L24" s="50"/>
      <c r="M24" s="50"/>
      <c r="N24" s="50"/>
      <c r="O24" s="52"/>
      <c r="P24" s="50"/>
      <c r="Q24" s="52"/>
      <c r="R24" s="52"/>
      <c r="S24" s="49" t="str">
        <f aca="false">IF(B24="","",IF(OR(O24="",R24=""),"—",IF(O24&lt;=R24,"⚠ RÉAPPRO","OK")))</f>
        <v/>
      </c>
      <c r="T24" s="50"/>
      <c r="U24" s="50"/>
      <c r="V24" s="50"/>
      <c r="W24" s="50"/>
      <c r="X24" s="50"/>
      <c r="Y24" s="53" t="str">
        <f aca="false">IF(B24="","",IF(X24="","—",IF(X24="Non classé","Non classé",IFERROR(INDEX(RefH_Classe,MATCH(TRIM(LEFT(X24,FIND(",",X24&amp;",")-1)),RefH_Code,0)),"Code H inconnu"))))</f>
        <v/>
      </c>
      <c r="Z24" s="50"/>
      <c r="AA24" s="50"/>
      <c r="AB24" s="51"/>
      <c r="AC24" s="51"/>
      <c r="AD24" s="51"/>
      <c r="AE24" s="51"/>
      <c r="AF24" s="50"/>
      <c r="AG24" s="51"/>
      <c r="AH24" s="54"/>
      <c r="AI24" s="51"/>
      <c r="AJ24" s="55" t="str">
        <f aca="false">IF(AH24="","",EDATE(AH24,60))</f>
        <v/>
      </c>
      <c r="AK24" s="49" t="str">
        <f aca="true">IF(B24="","",IF(OR(AG24="Non",AH24=""),"FDS ABSENTE",IF(TODAY()&gt;=EDATE(AH24,60),"EXPIRÉE",IF(TODAY()&gt;=EDATE(AH24,54),"À RENOUVELER","CONFORME"))))</f>
        <v/>
      </c>
      <c r="AL24" s="50"/>
      <c r="AM24" s="54"/>
      <c r="AN24" s="54"/>
      <c r="AO24" s="50"/>
      <c r="AP24" s="50"/>
      <c r="AQ24" s="50"/>
      <c r="AR24" s="50"/>
      <c r="AS24" s="50"/>
      <c r="AT24" s="50"/>
      <c r="AU24" s="50"/>
      <c r="AV24" s="50"/>
      <c r="AW24" s="52"/>
      <c r="AX24" s="52"/>
      <c r="AY24" s="56" t="str">
        <f aca="false">IF(OR(AW24="",AX24=""),"",AW24*AX24)</f>
        <v/>
      </c>
      <c r="AZ24" s="52"/>
      <c r="BA24" s="56" t="str">
        <f aca="false">IF(AY24="","",IF(AZ24="",AY24,ROUNDUP(AY24/AZ24,0)))</f>
        <v/>
      </c>
      <c r="BB24" s="49" t="str">
        <f aca="false">IF(BA24="","",IF(BA24&gt;=15,"P1 – Critique",IF(BA24&gt;=8,"P2 – Élevée",IF(BA24&gt;=4,"P3 – Modérée","P4 – Faible"))))</f>
        <v/>
      </c>
      <c r="BC24" s="50"/>
      <c r="BD24" s="50"/>
      <c r="BE24" s="54"/>
      <c r="BF24" s="57"/>
      <c r="BG24" s="50"/>
      <c r="BH24" s="54"/>
      <c r="BI24" s="54"/>
      <c r="BJ24" s="50"/>
      <c r="BK24" s="50"/>
    </row>
    <row r="25" customFormat="false" ht="15" hidden="false" customHeight="false" outlineLevel="0" collapsed="false">
      <c r="A25" s="49" t="str">
        <f aca="false">IF(B25="","","PC-"&amp;TEXT(ROW()-2,"000"))</f>
        <v/>
      </c>
      <c r="B25" s="50"/>
      <c r="C25" s="50"/>
      <c r="D25" s="51"/>
      <c r="E25" s="51"/>
      <c r="F25" s="51"/>
      <c r="G25" s="50"/>
      <c r="H25" s="50"/>
      <c r="I25" s="50"/>
      <c r="J25" s="51"/>
      <c r="K25" s="50"/>
      <c r="L25" s="50"/>
      <c r="M25" s="50"/>
      <c r="N25" s="50"/>
      <c r="O25" s="52"/>
      <c r="P25" s="50"/>
      <c r="Q25" s="52"/>
      <c r="R25" s="52"/>
      <c r="S25" s="49" t="str">
        <f aca="false">IF(B25="","",IF(OR(O25="",R25=""),"—",IF(O25&lt;=R25,"⚠ RÉAPPRO","OK")))</f>
        <v/>
      </c>
      <c r="T25" s="50"/>
      <c r="U25" s="50"/>
      <c r="V25" s="50"/>
      <c r="W25" s="50"/>
      <c r="X25" s="50"/>
      <c r="Y25" s="53" t="str">
        <f aca="false">IF(B25="","",IF(X25="","—",IF(X25="Non classé","Non classé",IFERROR(INDEX(RefH_Classe,MATCH(TRIM(LEFT(X25,FIND(",",X25&amp;",")-1)),RefH_Code,0)),"Code H inconnu"))))</f>
        <v/>
      </c>
      <c r="Z25" s="50"/>
      <c r="AA25" s="50"/>
      <c r="AB25" s="51"/>
      <c r="AC25" s="51"/>
      <c r="AD25" s="51"/>
      <c r="AE25" s="51"/>
      <c r="AF25" s="50"/>
      <c r="AG25" s="51"/>
      <c r="AH25" s="54"/>
      <c r="AI25" s="51"/>
      <c r="AJ25" s="55" t="str">
        <f aca="false">IF(AH25="","",EDATE(AH25,60))</f>
        <v/>
      </c>
      <c r="AK25" s="49" t="str">
        <f aca="true">IF(B25="","",IF(OR(AG25="Non",AH25=""),"FDS ABSENTE",IF(TODAY()&gt;=EDATE(AH25,60),"EXPIRÉE",IF(TODAY()&gt;=EDATE(AH25,54),"À RENOUVELER","CONFORME"))))</f>
        <v/>
      </c>
      <c r="AL25" s="50"/>
      <c r="AM25" s="54"/>
      <c r="AN25" s="54"/>
      <c r="AO25" s="50"/>
      <c r="AP25" s="50"/>
      <c r="AQ25" s="50"/>
      <c r="AR25" s="50"/>
      <c r="AS25" s="50"/>
      <c r="AT25" s="50"/>
      <c r="AU25" s="50"/>
      <c r="AV25" s="50"/>
      <c r="AW25" s="52"/>
      <c r="AX25" s="52"/>
      <c r="AY25" s="56" t="str">
        <f aca="false">IF(OR(AW25="",AX25=""),"",AW25*AX25)</f>
        <v/>
      </c>
      <c r="AZ25" s="52"/>
      <c r="BA25" s="56" t="str">
        <f aca="false">IF(AY25="","",IF(AZ25="",AY25,ROUNDUP(AY25/AZ25,0)))</f>
        <v/>
      </c>
      <c r="BB25" s="49" t="str">
        <f aca="false">IF(BA25="","",IF(BA25&gt;=15,"P1 – Critique",IF(BA25&gt;=8,"P2 – Élevée",IF(BA25&gt;=4,"P3 – Modérée","P4 – Faible"))))</f>
        <v/>
      </c>
      <c r="BC25" s="50"/>
      <c r="BD25" s="50"/>
      <c r="BE25" s="54"/>
      <c r="BF25" s="57"/>
      <c r="BG25" s="50"/>
      <c r="BH25" s="54"/>
      <c r="BI25" s="54"/>
      <c r="BJ25" s="50"/>
      <c r="BK25" s="50"/>
    </row>
    <row r="26" customFormat="false" ht="15" hidden="false" customHeight="false" outlineLevel="0" collapsed="false">
      <c r="A26" s="49" t="str">
        <f aca="false">IF(B26="","","PC-"&amp;TEXT(ROW()-2,"000"))</f>
        <v/>
      </c>
      <c r="B26" s="50"/>
      <c r="C26" s="50"/>
      <c r="D26" s="51"/>
      <c r="E26" s="51"/>
      <c r="F26" s="51"/>
      <c r="G26" s="50"/>
      <c r="H26" s="50"/>
      <c r="I26" s="50"/>
      <c r="J26" s="51"/>
      <c r="K26" s="50"/>
      <c r="L26" s="50"/>
      <c r="M26" s="50"/>
      <c r="N26" s="50"/>
      <c r="O26" s="52"/>
      <c r="P26" s="50"/>
      <c r="Q26" s="52"/>
      <c r="R26" s="52"/>
      <c r="S26" s="49" t="str">
        <f aca="false">IF(B26="","",IF(OR(O26="",R26=""),"—",IF(O26&lt;=R26,"⚠ RÉAPPRO","OK")))</f>
        <v/>
      </c>
      <c r="T26" s="50"/>
      <c r="U26" s="50"/>
      <c r="V26" s="50"/>
      <c r="W26" s="50"/>
      <c r="X26" s="50"/>
      <c r="Y26" s="53" t="str">
        <f aca="false">IF(B26="","",IF(X26="","—",IF(X26="Non classé","Non classé",IFERROR(INDEX(RefH_Classe,MATCH(TRIM(LEFT(X26,FIND(",",X26&amp;",")-1)),RefH_Code,0)),"Code H inconnu"))))</f>
        <v/>
      </c>
      <c r="Z26" s="50"/>
      <c r="AA26" s="50"/>
      <c r="AB26" s="51"/>
      <c r="AC26" s="51"/>
      <c r="AD26" s="51"/>
      <c r="AE26" s="51"/>
      <c r="AF26" s="50"/>
      <c r="AG26" s="51"/>
      <c r="AH26" s="54"/>
      <c r="AI26" s="51"/>
      <c r="AJ26" s="55" t="str">
        <f aca="false">IF(AH26="","",EDATE(AH26,60))</f>
        <v/>
      </c>
      <c r="AK26" s="49" t="str">
        <f aca="true">IF(B26="","",IF(OR(AG26="Non",AH26=""),"FDS ABSENTE",IF(TODAY()&gt;=EDATE(AH26,60),"EXPIRÉE",IF(TODAY()&gt;=EDATE(AH26,54),"À RENOUVELER","CONFORME"))))</f>
        <v/>
      </c>
      <c r="AL26" s="50"/>
      <c r="AM26" s="54"/>
      <c r="AN26" s="54"/>
      <c r="AO26" s="50"/>
      <c r="AP26" s="50"/>
      <c r="AQ26" s="50"/>
      <c r="AR26" s="50"/>
      <c r="AS26" s="50"/>
      <c r="AT26" s="50"/>
      <c r="AU26" s="50"/>
      <c r="AV26" s="50"/>
      <c r="AW26" s="52"/>
      <c r="AX26" s="52"/>
      <c r="AY26" s="56" t="str">
        <f aca="false">IF(OR(AW26="",AX26=""),"",AW26*AX26)</f>
        <v/>
      </c>
      <c r="AZ26" s="52"/>
      <c r="BA26" s="56" t="str">
        <f aca="false">IF(AY26="","",IF(AZ26="",AY26,ROUNDUP(AY26/AZ26,0)))</f>
        <v/>
      </c>
      <c r="BB26" s="49" t="str">
        <f aca="false">IF(BA26="","",IF(BA26&gt;=15,"P1 – Critique",IF(BA26&gt;=8,"P2 – Élevée",IF(BA26&gt;=4,"P3 – Modérée","P4 – Faible"))))</f>
        <v/>
      </c>
      <c r="BC26" s="50"/>
      <c r="BD26" s="50"/>
      <c r="BE26" s="54"/>
      <c r="BF26" s="57"/>
      <c r="BG26" s="50"/>
      <c r="BH26" s="54"/>
      <c r="BI26" s="54"/>
      <c r="BJ26" s="50"/>
      <c r="BK26" s="50"/>
    </row>
    <row r="27" customFormat="false" ht="15" hidden="false" customHeight="false" outlineLevel="0" collapsed="false">
      <c r="A27" s="49" t="str">
        <f aca="false">IF(B27="","","PC-"&amp;TEXT(ROW()-2,"000"))</f>
        <v/>
      </c>
      <c r="B27" s="50"/>
      <c r="C27" s="50"/>
      <c r="D27" s="51"/>
      <c r="E27" s="51"/>
      <c r="F27" s="51"/>
      <c r="G27" s="50"/>
      <c r="H27" s="50"/>
      <c r="I27" s="50"/>
      <c r="J27" s="51"/>
      <c r="K27" s="50"/>
      <c r="L27" s="50"/>
      <c r="M27" s="50"/>
      <c r="N27" s="50"/>
      <c r="O27" s="52"/>
      <c r="P27" s="50"/>
      <c r="Q27" s="52"/>
      <c r="R27" s="52"/>
      <c r="S27" s="49" t="str">
        <f aca="false">IF(B27="","",IF(OR(O27="",R27=""),"—",IF(O27&lt;=R27,"⚠ RÉAPPRO","OK")))</f>
        <v/>
      </c>
      <c r="T27" s="50"/>
      <c r="U27" s="50"/>
      <c r="V27" s="50"/>
      <c r="W27" s="50"/>
      <c r="X27" s="50"/>
      <c r="Y27" s="53" t="str">
        <f aca="false">IF(B27="","",IF(X27="","—",IF(X27="Non classé","Non classé",IFERROR(INDEX(RefH_Classe,MATCH(TRIM(LEFT(X27,FIND(",",X27&amp;",")-1)),RefH_Code,0)),"Code H inconnu"))))</f>
        <v/>
      </c>
      <c r="Z27" s="50"/>
      <c r="AA27" s="50"/>
      <c r="AB27" s="51"/>
      <c r="AC27" s="51"/>
      <c r="AD27" s="51"/>
      <c r="AE27" s="51"/>
      <c r="AF27" s="50"/>
      <c r="AG27" s="51"/>
      <c r="AH27" s="54"/>
      <c r="AI27" s="51"/>
      <c r="AJ27" s="55" t="str">
        <f aca="false">IF(AH27="","",EDATE(AH27,60))</f>
        <v/>
      </c>
      <c r="AK27" s="49" t="str">
        <f aca="true">IF(B27="","",IF(OR(AG27="Non",AH27=""),"FDS ABSENTE",IF(TODAY()&gt;=EDATE(AH27,60),"EXPIRÉE",IF(TODAY()&gt;=EDATE(AH27,54),"À RENOUVELER","CONFORME"))))</f>
        <v/>
      </c>
      <c r="AL27" s="50"/>
      <c r="AM27" s="54"/>
      <c r="AN27" s="54"/>
      <c r="AO27" s="50"/>
      <c r="AP27" s="50"/>
      <c r="AQ27" s="50"/>
      <c r="AR27" s="50"/>
      <c r="AS27" s="50"/>
      <c r="AT27" s="50"/>
      <c r="AU27" s="50"/>
      <c r="AV27" s="50"/>
      <c r="AW27" s="52"/>
      <c r="AX27" s="52"/>
      <c r="AY27" s="56" t="str">
        <f aca="false">IF(OR(AW27="",AX27=""),"",AW27*AX27)</f>
        <v/>
      </c>
      <c r="AZ27" s="52"/>
      <c r="BA27" s="56" t="str">
        <f aca="false">IF(AY27="","",IF(AZ27="",AY27,ROUNDUP(AY27/AZ27,0)))</f>
        <v/>
      </c>
      <c r="BB27" s="49" t="str">
        <f aca="false">IF(BA27="","",IF(BA27&gt;=15,"P1 – Critique",IF(BA27&gt;=8,"P2 – Élevée",IF(BA27&gt;=4,"P3 – Modérée","P4 – Faible"))))</f>
        <v/>
      </c>
      <c r="BC27" s="50"/>
      <c r="BD27" s="50"/>
      <c r="BE27" s="54"/>
      <c r="BF27" s="57"/>
      <c r="BG27" s="50"/>
      <c r="BH27" s="54"/>
      <c r="BI27" s="54"/>
      <c r="BJ27" s="50"/>
      <c r="BK27" s="50"/>
    </row>
    <row r="28" customFormat="false" ht="15" hidden="false" customHeight="false" outlineLevel="0" collapsed="false">
      <c r="A28" s="49" t="str">
        <f aca="false">IF(B28="","","PC-"&amp;TEXT(ROW()-2,"000"))</f>
        <v/>
      </c>
      <c r="B28" s="50"/>
      <c r="C28" s="50"/>
      <c r="D28" s="51"/>
      <c r="E28" s="51"/>
      <c r="F28" s="51"/>
      <c r="G28" s="50"/>
      <c r="H28" s="50"/>
      <c r="I28" s="50"/>
      <c r="J28" s="51"/>
      <c r="K28" s="50"/>
      <c r="L28" s="50"/>
      <c r="M28" s="50"/>
      <c r="N28" s="50"/>
      <c r="O28" s="52"/>
      <c r="P28" s="50"/>
      <c r="Q28" s="52"/>
      <c r="R28" s="52"/>
      <c r="S28" s="49" t="str">
        <f aca="false">IF(B28="","",IF(OR(O28="",R28=""),"—",IF(O28&lt;=R28,"⚠ RÉAPPRO","OK")))</f>
        <v/>
      </c>
      <c r="T28" s="50"/>
      <c r="U28" s="50"/>
      <c r="V28" s="50"/>
      <c r="W28" s="50"/>
      <c r="X28" s="50"/>
      <c r="Y28" s="53" t="str">
        <f aca="false">IF(B28="","",IF(X28="","—",IF(X28="Non classé","Non classé",IFERROR(INDEX(RefH_Classe,MATCH(TRIM(LEFT(X28,FIND(",",X28&amp;",")-1)),RefH_Code,0)),"Code H inconnu"))))</f>
        <v/>
      </c>
      <c r="Z28" s="50"/>
      <c r="AA28" s="50"/>
      <c r="AB28" s="51"/>
      <c r="AC28" s="51"/>
      <c r="AD28" s="51"/>
      <c r="AE28" s="51"/>
      <c r="AF28" s="50"/>
      <c r="AG28" s="51"/>
      <c r="AH28" s="54"/>
      <c r="AI28" s="51"/>
      <c r="AJ28" s="55" t="str">
        <f aca="false">IF(AH28="","",EDATE(AH28,60))</f>
        <v/>
      </c>
      <c r="AK28" s="49" t="str">
        <f aca="true">IF(B28="","",IF(OR(AG28="Non",AH28=""),"FDS ABSENTE",IF(TODAY()&gt;=EDATE(AH28,60),"EXPIRÉE",IF(TODAY()&gt;=EDATE(AH28,54),"À RENOUVELER","CONFORME"))))</f>
        <v/>
      </c>
      <c r="AL28" s="50"/>
      <c r="AM28" s="54"/>
      <c r="AN28" s="54"/>
      <c r="AO28" s="50"/>
      <c r="AP28" s="50"/>
      <c r="AQ28" s="50"/>
      <c r="AR28" s="50"/>
      <c r="AS28" s="50"/>
      <c r="AT28" s="50"/>
      <c r="AU28" s="50"/>
      <c r="AV28" s="50"/>
      <c r="AW28" s="52"/>
      <c r="AX28" s="52"/>
      <c r="AY28" s="56" t="str">
        <f aca="false">IF(OR(AW28="",AX28=""),"",AW28*AX28)</f>
        <v/>
      </c>
      <c r="AZ28" s="52"/>
      <c r="BA28" s="56" t="str">
        <f aca="false">IF(AY28="","",IF(AZ28="",AY28,ROUNDUP(AY28/AZ28,0)))</f>
        <v/>
      </c>
      <c r="BB28" s="49" t="str">
        <f aca="false">IF(BA28="","",IF(BA28&gt;=15,"P1 – Critique",IF(BA28&gt;=8,"P2 – Élevée",IF(BA28&gt;=4,"P3 – Modérée","P4 – Faible"))))</f>
        <v/>
      </c>
      <c r="BC28" s="50"/>
      <c r="BD28" s="50"/>
      <c r="BE28" s="54"/>
      <c r="BF28" s="57"/>
      <c r="BG28" s="50"/>
      <c r="BH28" s="54"/>
      <c r="BI28" s="54"/>
      <c r="BJ28" s="50"/>
      <c r="BK28" s="50"/>
    </row>
    <row r="29" customFormat="false" ht="15" hidden="false" customHeight="false" outlineLevel="0" collapsed="false">
      <c r="A29" s="49" t="str">
        <f aca="false">IF(B29="","","PC-"&amp;TEXT(ROW()-2,"000"))</f>
        <v/>
      </c>
      <c r="B29" s="50"/>
      <c r="C29" s="50"/>
      <c r="D29" s="51"/>
      <c r="E29" s="51"/>
      <c r="F29" s="51"/>
      <c r="G29" s="50"/>
      <c r="H29" s="50"/>
      <c r="I29" s="50"/>
      <c r="J29" s="51"/>
      <c r="K29" s="50"/>
      <c r="L29" s="50"/>
      <c r="M29" s="50"/>
      <c r="N29" s="50"/>
      <c r="O29" s="52"/>
      <c r="P29" s="50"/>
      <c r="Q29" s="52"/>
      <c r="R29" s="52"/>
      <c r="S29" s="49" t="str">
        <f aca="false">IF(B29="","",IF(OR(O29="",R29=""),"—",IF(O29&lt;=R29,"⚠ RÉAPPRO","OK")))</f>
        <v/>
      </c>
      <c r="T29" s="50"/>
      <c r="U29" s="50"/>
      <c r="V29" s="50"/>
      <c r="W29" s="50"/>
      <c r="X29" s="50"/>
      <c r="Y29" s="53" t="str">
        <f aca="false">IF(B29="","",IF(X29="","—",IF(X29="Non classé","Non classé",IFERROR(INDEX(RefH_Classe,MATCH(TRIM(LEFT(X29,FIND(",",X29&amp;",")-1)),RefH_Code,0)),"Code H inconnu"))))</f>
        <v/>
      </c>
      <c r="Z29" s="50"/>
      <c r="AA29" s="50"/>
      <c r="AB29" s="51"/>
      <c r="AC29" s="51"/>
      <c r="AD29" s="51"/>
      <c r="AE29" s="51"/>
      <c r="AF29" s="50"/>
      <c r="AG29" s="51"/>
      <c r="AH29" s="54"/>
      <c r="AI29" s="51"/>
      <c r="AJ29" s="55" t="str">
        <f aca="false">IF(AH29="","",EDATE(AH29,60))</f>
        <v/>
      </c>
      <c r="AK29" s="49" t="str">
        <f aca="true">IF(B29="","",IF(OR(AG29="Non",AH29=""),"FDS ABSENTE",IF(TODAY()&gt;=EDATE(AH29,60),"EXPIRÉE",IF(TODAY()&gt;=EDATE(AH29,54),"À RENOUVELER","CONFORME"))))</f>
        <v/>
      </c>
      <c r="AL29" s="50"/>
      <c r="AM29" s="54"/>
      <c r="AN29" s="54"/>
      <c r="AO29" s="50"/>
      <c r="AP29" s="50"/>
      <c r="AQ29" s="50"/>
      <c r="AR29" s="50"/>
      <c r="AS29" s="50"/>
      <c r="AT29" s="50"/>
      <c r="AU29" s="50"/>
      <c r="AV29" s="50"/>
      <c r="AW29" s="52"/>
      <c r="AX29" s="52"/>
      <c r="AY29" s="56" t="str">
        <f aca="false">IF(OR(AW29="",AX29=""),"",AW29*AX29)</f>
        <v/>
      </c>
      <c r="AZ29" s="52"/>
      <c r="BA29" s="56" t="str">
        <f aca="false">IF(AY29="","",IF(AZ29="",AY29,ROUNDUP(AY29/AZ29,0)))</f>
        <v/>
      </c>
      <c r="BB29" s="49" t="str">
        <f aca="false">IF(BA29="","",IF(BA29&gt;=15,"P1 – Critique",IF(BA29&gt;=8,"P2 – Élevée",IF(BA29&gt;=4,"P3 – Modérée","P4 – Faible"))))</f>
        <v/>
      </c>
      <c r="BC29" s="50"/>
      <c r="BD29" s="50"/>
      <c r="BE29" s="54"/>
      <c r="BF29" s="57"/>
      <c r="BG29" s="50"/>
      <c r="BH29" s="54"/>
      <c r="BI29" s="54"/>
      <c r="BJ29" s="50"/>
      <c r="BK29" s="50"/>
    </row>
    <row r="30" customFormat="false" ht="15" hidden="false" customHeight="false" outlineLevel="0" collapsed="false">
      <c r="A30" s="49" t="str">
        <f aca="false">IF(B30="","","PC-"&amp;TEXT(ROW()-2,"000"))</f>
        <v/>
      </c>
      <c r="B30" s="50"/>
      <c r="C30" s="50"/>
      <c r="D30" s="51"/>
      <c r="E30" s="51"/>
      <c r="F30" s="51"/>
      <c r="G30" s="50"/>
      <c r="H30" s="50"/>
      <c r="I30" s="50"/>
      <c r="J30" s="51"/>
      <c r="K30" s="50"/>
      <c r="L30" s="50"/>
      <c r="M30" s="50"/>
      <c r="N30" s="50"/>
      <c r="O30" s="52"/>
      <c r="P30" s="50"/>
      <c r="Q30" s="52"/>
      <c r="R30" s="52"/>
      <c r="S30" s="49" t="str">
        <f aca="false">IF(B30="","",IF(OR(O30="",R30=""),"—",IF(O30&lt;=R30,"⚠ RÉAPPRO","OK")))</f>
        <v/>
      </c>
      <c r="T30" s="50"/>
      <c r="U30" s="50"/>
      <c r="V30" s="50"/>
      <c r="W30" s="50"/>
      <c r="X30" s="50"/>
      <c r="Y30" s="53" t="str">
        <f aca="false">IF(B30="","",IF(X30="","—",IF(X30="Non classé","Non classé",IFERROR(INDEX(RefH_Classe,MATCH(TRIM(LEFT(X30,FIND(",",X30&amp;",")-1)),RefH_Code,0)),"Code H inconnu"))))</f>
        <v/>
      </c>
      <c r="Z30" s="50"/>
      <c r="AA30" s="50"/>
      <c r="AB30" s="51"/>
      <c r="AC30" s="51"/>
      <c r="AD30" s="51"/>
      <c r="AE30" s="51"/>
      <c r="AF30" s="50"/>
      <c r="AG30" s="51"/>
      <c r="AH30" s="54"/>
      <c r="AI30" s="51"/>
      <c r="AJ30" s="55" t="str">
        <f aca="false">IF(AH30="","",EDATE(AH30,60))</f>
        <v/>
      </c>
      <c r="AK30" s="49" t="str">
        <f aca="true">IF(B30="","",IF(OR(AG30="Non",AH30=""),"FDS ABSENTE",IF(TODAY()&gt;=EDATE(AH30,60),"EXPIRÉE",IF(TODAY()&gt;=EDATE(AH30,54),"À RENOUVELER","CONFORME"))))</f>
        <v/>
      </c>
      <c r="AL30" s="50"/>
      <c r="AM30" s="54"/>
      <c r="AN30" s="54"/>
      <c r="AO30" s="50"/>
      <c r="AP30" s="50"/>
      <c r="AQ30" s="50"/>
      <c r="AR30" s="50"/>
      <c r="AS30" s="50"/>
      <c r="AT30" s="50"/>
      <c r="AU30" s="50"/>
      <c r="AV30" s="50"/>
      <c r="AW30" s="52"/>
      <c r="AX30" s="52"/>
      <c r="AY30" s="56" t="str">
        <f aca="false">IF(OR(AW30="",AX30=""),"",AW30*AX30)</f>
        <v/>
      </c>
      <c r="AZ30" s="52"/>
      <c r="BA30" s="56" t="str">
        <f aca="false">IF(AY30="","",IF(AZ30="",AY30,ROUNDUP(AY30/AZ30,0)))</f>
        <v/>
      </c>
      <c r="BB30" s="49" t="str">
        <f aca="false">IF(BA30="","",IF(BA30&gt;=15,"P1 – Critique",IF(BA30&gt;=8,"P2 – Élevée",IF(BA30&gt;=4,"P3 – Modérée","P4 – Faible"))))</f>
        <v/>
      </c>
      <c r="BC30" s="50"/>
      <c r="BD30" s="50"/>
      <c r="BE30" s="54"/>
      <c r="BF30" s="57"/>
      <c r="BG30" s="50"/>
      <c r="BH30" s="54"/>
      <c r="BI30" s="54"/>
      <c r="BJ30" s="50"/>
      <c r="BK30" s="50"/>
    </row>
    <row r="31" customFormat="false" ht="15" hidden="false" customHeight="false" outlineLevel="0" collapsed="false">
      <c r="A31" s="49" t="str">
        <f aca="false">IF(B31="","","PC-"&amp;TEXT(ROW()-2,"000"))</f>
        <v/>
      </c>
      <c r="B31" s="50"/>
      <c r="C31" s="50"/>
      <c r="D31" s="51"/>
      <c r="E31" s="51"/>
      <c r="F31" s="51"/>
      <c r="G31" s="50"/>
      <c r="H31" s="50"/>
      <c r="I31" s="50"/>
      <c r="J31" s="51"/>
      <c r="K31" s="50"/>
      <c r="L31" s="50"/>
      <c r="M31" s="50"/>
      <c r="N31" s="50"/>
      <c r="O31" s="52"/>
      <c r="P31" s="50"/>
      <c r="Q31" s="52"/>
      <c r="R31" s="52"/>
      <c r="S31" s="49" t="str">
        <f aca="false">IF(B31="","",IF(OR(O31="",R31=""),"—",IF(O31&lt;=R31,"⚠ RÉAPPRO","OK")))</f>
        <v/>
      </c>
      <c r="T31" s="50"/>
      <c r="U31" s="50"/>
      <c r="V31" s="50"/>
      <c r="W31" s="50"/>
      <c r="X31" s="50"/>
      <c r="Y31" s="53" t="str">
        <f aca="false">IF(B31="","",IF(X31="","—",IF(X31="Non classé","Non classé",IFERROR(INDEX(RefH_Classe,MATCH(TRIM(LEFT(X31,FIND(",",X31&amp;",")-1)),RefH_Code,0)),"Code H inconnu"))))</f>
        <v/>
      </c>
      <c r="Z31" s="50"/>
      <c r="AA31" s="50"/>
      <c r="AB31" s="51"/>
      <c r="AC31" s="51"/>
      <c r="AD31" s="51"/>
      <c r="AE31" s="51"/>
      <c r="AF31" s="50"/>
      <c r="AG31" s="51"/>
      <c r="AH31" s="54"/>
      <c r="AI31" s="51"/>
      <c r="AJ31" s="55" t="str">
        <f aca="false">IF(AH31="","",EDATE(AH31,60))</f>
        <v/>
      </c>
      <c r="AK31" s="49" t="str">
        <f aca="true">IF(B31="","",IF(OR(AG31="Non",AH31=""),"FDS ABSENTE",IF(TODAY()&gt;=EDATE(AH31,60),"EXPIRÉE",IF(TODAY()&gt;=EDATE(AH31,54),"À RENOUVELER","CONFORME"))))</f>
        <v/>
      </c>
      <c r="AL31" s="50"/>
      <c r="AM31" s="54"/>
      <c r="AN31" s="54"/>
      <c r="AO31" s="50"/>
      <c r="AP31" s="50"/>
      <c r="AQ31" s="50"/>
      <c r="AR31" s="50"/>
      <c r="AS31" s="50"/>
      <c r="AT31" s="50"/>
      <c r="AU31" s="50"/>
      <c r="AV31" s="50"/>
      <c r="AW31" s="52"/>
      <c r="AX31" s="52"/>
      <c r="AY31" s="56" t="str">
        <f aca="false">IF(OR(AW31="",AX31=""),"",AW31*AX31)</f>
        <v/>
      </c>
      <c r="AZ31" s="52"/>
      <c r="BA31" s="56" t="str">
        <f aca="false">IF(AY31="","",IF(AZ31="",AY31,ROUNDUP(AY31/AZ31,0)))</f>
        <v/>
      </c>
      <c r="BB31" s="49" t="str">
        <f aca="false">IF(BA31="","",IF(BA31&gt;=15,"P1 – Critique",IF(BA31&gt;=8,"P2 – Élevée",IF(BA31&gt;=4,"P3 – Modérée","P4 – Faible"))))</f>
        <v/>
      </c>
      <c r="BC31" s="50"/>
      <c r="BD31" s="50"/>
      <c r="BE31" s="54"/>
      <c r="BF31" s="57"/>
      <c r="BG31" s="50"/>
      <c r="BH31" s="54"/>
      <c r="BI31" s="54"/>
      <c r="BJ31" s="50"/>
      <c r="BK31" s="50"/>
    </row>
    <row r="32" customFormat="false" ht="15" hidden="false" customHeight="false" outlineLevel="0" collapsed="false">
      <c r="A32" s="49" t="str">
        <f aca="false">IF(B32="","","PC-"&amp;TEXT(ROW()-2,"000"))</f>
        <v/>
      </c>
      <c r="B32" s="50"/>
      <c r="C32" s="50"/>
      <c r="D32" s="51"/>
      <c r="E32" s="51"/>
      <c r="F32" s="51"/>
      <c r="G32" s="50"/>
      <c r="H32" s="50"/>
      <c r="I32" s="50"/>
      <c r="J32" s="51"/>
      <c r="K32" s="50"/>
      <c r="L32" s="50"/>
      <c r="M32" s="50"/>
      <c r="N32" s="50"/>
      <c r="O32" s="52"/>
      <c r="P32" s="50"/>
      <c r="Q32" s="52"/>
      <c r="R32" s="52"/>
      <c r="S32" s="49" t="str">
        <f aca="false">IF(B32="","",IF(OR(O32="",R32=""),"—",IF(O32&lt;=R32,"⚠ RÉAPPRO","OK")))</f>
        <v/>
      </c>
      <c r="T32" s="50"/>
      <c r="U32" s="50"/>
      <c r="V32" s="50"/>
      <c r="W32" s="50"/>
      <c r="X32" s="50"/>
      <c r="Y32" s="53" t="str">
        <f aca="false">IF(B32="","",IF(X32="","—",IF(X32="Non classé","Non classé",IFERROR(INDEX(RefH_Classe,MATCH(TRIM(LEFT(X32,FIND(",",X32&amp;",")-1)),RefH_Code,0)),"Code H inconnu"))))</f>
        <v/>
      </c>
      <c r="Z32" s="50"/>
      <c r="AA32" s="50"/>
      <c r="AB32" s="51"/>
      <c r="AC32" s="51"/>
      <c r="AD32" s="51"/>
      <c r="AE32" s="51"/>
      <c r="AF32" s="50"/>
      <c r="AG32" s="51"/>
      <c r="AH32" s="54"/>
      <c r="AI32" s="51"/>
      <c r="AJ32" s="55" t="str">
        <f aca="false">IF(AH32="","",EDATE(AH32,60))</f>
        <v/>
      </c>
      <c r="AK32" s="49" t="str">
        <f aca="true">IF(B32="","",IF(OR(AG32="Non",AH32=""),"FDS ABSENTE",IF(TODAY()&gt;=EDATE(AH32,60),"EXPIRÉE",IF(TODAY()&gt;=EDATE(AH32,54),"À RENOUVELER","CONFORME"))))</f>
        <v/>
      </c>
      <c r="AL32" s="50"/>
      <c r="AM32" s="54"/>
      <c r="AN32" s="54"/>
      <c r="AO32" s="50"/>
      <c r="AP32" s="50"/>
      <c r="AQ32" s="50"/>
      <c r="AR32" s="50"/>
      <c r="AS32" s="50"/>
      <c r="AT32" s="50"/>
      <c r="AU32" s="50"/>
      <c r="AV32" s="50"/>
      <c r="AW32" s="52"/>
      <c r="AX32" s="52"/>
      <c r="AY32" s="56" t="str">
        <f aca="false">IF(OR(AW32="",AX32=""),"",AW32*AX32)</f>
        <v/>
      </c>
      <c r="AZ32" s="52"/>
      <c r="BA32" s="56" t="str">
        <f aca="false">IF(AY32="","",IF(AZ32="",AY32,ROUNDUP(AY32/AZ32,0)))</f>
        <v/>
      </c>
      <c r="BB32" s="49" t="str">
        <f aca="false">IF(BA32="","",IF(BA32&gt;=15,"P1 – Critique",IF(BA32&gt;=8,"P2 – Élevée",IF(BA32&gt;=4,"P3 – Modérée","P4 – Faible"))))</f>
        <v/>
      </c>
      <c r="BC32" s="50"/>
      <c r="BD32" s="50"/>
      <c r="BE32" s="54"/>
      <c r="BF32" s="57"/>
      <c r="BG32" s="50"/>
      <c r="BH32" s="54"/>
      <c r="BI32" s="54"/>
      <c r="BJ32" s="50"/>
      <c r="BK32" s="50"/>
    </row>
    <row r="33" customFormat="false" ht="15" hidden="false" customHeight="false" outlineLevel="0" collapsed="false">
      <c r="A33" s="49" t="str">
        <f aca="false">IF(B33="","","PC-"&amp;TEXT(ROW()-2,"000"))</f>
        <v/>
      </c>
      <c r="B33" s="50"/>
      <c r="C33" s="50"/>
      <c r="D33" s="51"/>
      <c r="E33" s="51"/>
      <c r="F33" s="51"/>
      <c r="G33" s="50"/>
      <c r="H33" s="50"/>
      <c r="I33" s="50"/>
      <c r="J33" s="51"/>
      <c r="K33" s="50"/>
      <c r="L33" s="50"/>
      <c r="M33" s="50"/>
      <c r="N33" s="50"/>
      <c r="O33" s="52"/>
      <c r="P33" s="50"/>
      <c r="Q33" s="52"/>
      <c r="R33" s="52"/>
      <c r="S33" s="49" t="str">
        <f aca="false">IF(B33="","",IF(OR(O33="",R33=""),"—",IF(O33&lt;=R33,"⚠ RÉAPPRO","OK")))</f>
        <v/>
      </c>
      <c r="T33" s="50"/>
      <c r="U33" s="50"/>
      <c r="V33" s="50"/>
      <c r="W33" s="50"/>
      <c r="X33" s="50"/>
      <c r="Y33" s="53" t="str">
        <f aca="false">IF(B33="","",IF(X33="","—",IF(X33="Non classé","Non classé",IFERROR(INDEX(RefH_Classe,MATCH(TRIM(LEFT(X33,FIND(",",X33&amp;",")-1)),RefH_Code,0)),"Code H inconnu"))))</f>
        <v/>
      </c>
      <c r="Z33" s="50"/>
      <c r="AA33" s="50"/>
      <c r="AB33" s="51"/>
      <c r="AC33" s="51"/>
      <c r="AD33" s="51"/>
      <c r="AE33" s="51"/>
      <c r="AF33" s="50"/>
      <c r="AG33" s="51"/>
      <c r="AH33" s="54"/>
      <c r="AI33" s="51"/>
      <c r="AJ33" s="55" t="str">
        <f aca="false">IF(AH33="","",EDATE(AH33,60))</f>
        <v/>
      </c>
      <c r="AK33" s="49" t="str">
        <f aca="true">IF(B33="","",IF(OR(AG33="Non",AH33=""),"FDS ABSENTE",IF(TODAY()&gt;=EDATE(AH33,60),"EXPIRÉE",IF(TODAY()&gt;=EDATE(AH33,54),"À RENOUVELER","CONFORME"))))</f>
        <v/>
      </c>
      <c r="AL33" s="50"/>
      <c r="AM33" s="54"/>
      <c r="AN33" s="54"/>
      <c r="AO33" s="50"/>
      <c r="AP33" s="50"/>
      <c r="AQ33" s="50"/>
      <c r="AR33" s="50"/>
      <c r="AS33" s="50"/>
      <c r="AT33" s="50"/>
      <c r="AU33" s="50"/>
      <c r="AV33" s="50"/>
      <c r="AW33" s="52"/>
      <c r="AX33" s="52"/>
      <c r="AY33" s="56" t="str">
        <f aca="false">IF(OR(AW33="",AX33=""),"",AW33*AX33)</f>
        <v/>
      </c>
      <c r="AZ33" s="52"/>
      <c r="BA33" s="56" t="str">
        <f aca="false">IF(AY33="","",IF(AZ33="",AY33,ROUNDUP(AY33/AZ33,0)))</f>
        <v/>
      </c>
      <c r="BB33" s="49" t="str">
        <f aca="false">IF(BA33="","",IF(BA33&gt;=15,"P1 – Critique",IF(BA33&gt;=8,"P2 – Élevée",IF(BA33&gt;=4,"P3 – Modérée","P4 – Faible"))))</f>
        <v/>
      </c>
      <c r="BC33" s="50"/>
      <c r="BD33" s="50"/>
      <c r="BE33" s="54"/>
      <c r="BF33" s="57"/>
      <c r="BG33" s="50"/>
      <c r="BH33" s="54"/>
      <c r="BI33" s="54"/>
      <c r="BJ33" s="50"/>
      <c r="BK33" s="50"/>
    </row>
    <row r="34" customFormat="false" ht="15" hidden="false" customHeight="false" outlineLevel="0" collapsed="false">
      <c r="A34" s="49" t="str">
        <f aca="false">IF(B34="","","PC-"&amp;TEXT(ROW()-2,"000"))</f>
        <v/>
      </c>
      <c r="B34" s="50"/>
      <c r="C34" s="50"/>
      <c r="D34" s="51"/>
      <c r="E34" s="51"/>
      <c r="F34" s="51"/>
      <c r="G34" s="50"/>
      <c r="H34" s="50"/>
      <c r="I34" s="50"/>
      <c r="J34" s="51"/>
      <c r="K34" s="50"/>
      <c r="L34" s="50"/>
      <c r="M34" s="50"/>
      <c r="N34" s="50"/>
      <c r="O34" s="52"/>
      <c r="P34" s="50"/>
      <c r="Q34" s="52"/>
      <c r="R34" s="52"/>
      <c r="S34" s="49" t="str">
        <f aca="false">IF(B34="","",IF(OR(O34="",R34=""),"—",IF(O34&lt;=R34,"⚠ RÉAPPRO","OK")))</f>
        <v/>
      </c>
      <c r="T34" s="50"/>
      <c r="U34" s="50"/>
      <c r="V34" s="50"/>
      <c r="W34" s="50"/>
      <c r="X34" s="50"/>
      <c r="Y34" s="53" t="str">
        <f aca="false">IF(B34="","",IF(X34="","—",IF(X34="Non classé","Non classé",IFERROR(INDEX(RefH_Classe,MATCH(TRIM(LEFT(X34,FIND(",",X34&amp;",")-1)),RefH_Code,0)),"Code H inconnu"))))</f>
        <v/>
      </c>
      <c r="Z34" s="50"/>
      <c r="AA34" s="50"/>
      <c r="AB34" s="51"/>
      <c r="AC34" s="51"/>
      <c r="AD34" s="51"/>
      <c r="AE34" s="51"/>
      <c r="AF34" s="50"/>
      <c r="AG34" s="51"/>
      <c r="AH34" s="54"/>
      <c r="AI34" s="51"/>
      <c r="AJ34" s="55" t="str">
        <f aca="false">IF(AH34="","",EDATE(AH34,60))</f>
        <v/>
      </c>
      <c r="AK34" s="49" t="str">
        <f aca="true">IF(B34="","",IF(OR(AG34="Non",AH34=""),"FDS ABSENTE",IF(TODAY()&gt;=EDATE(AH34,60),"EXPIRÉE",IF(TODAY()&gt;=EDATE(AH34,54),"À RENOUVELER","CONFORME"))))</f>
        <v/>
      </c>
      <c r="AL34" s="50"/>
      <c r="AM34" s="54"/>
      <c r="AN34" s="54"/>
      <c r="AO34" s="50"/>
      <c r="AP34" s="50"/>
      <c r="AQ34" s="50"/>
      <c r="AR34" s="50"/>
      <c r="AS34" s="50"/>
      <c r="AT34" s="50"/>
      <c r="AU34" s="50"/>
      <c r="AV34" s="50"/>
      <c r="AW34" s="52"/>
      <c r="AX34" s="52"/>
      <c r="AY34" s="56" t="str">
        <f aca="false">IF(OR(AW34="",AX34=""),"",AW34*AX34)</f>
        <v/>
      </c>
      <c r="AZ34" s="52"/>
      <c r="BA34" s="56" t="str">
        <f aca="false">IF(AY34="","",IF(AZ34="",AY34,ROUNDUP(AY34/AZ34,0)))</f>
        <v/>
      </c>
      <c r="BB34" s="49" t="str">
        <f aca="false">IF(BA34="","",IF(BA34&gt;=15,"P1 – Critique",IF(BA34&gt;=8,"P2 – Élevée",IF(BA34&gt;=4,"P3 – Modérée","P4 – Faible"))))</f>
        <v/>
      </c>
      <c r="BC34" s="50"/>
      <c r="BD34" s="50"/>
      <c r="BE34" s="54"/>
      <c r="BF34" s="57"/>
      <c r="BG34" s="50"/>
      <c r="BH34" s="54"/>
      <c r="BI34" s="54"/>
      <c r="BJ34" s="50"/>
      <c r="BK34" s="50"/>
    </row>
    <row r="35" customFormat="false" ht="15" hidden="false" customHeight="false" outlineLevel="0" collapsed="false">
      <c r="A35" s="49" t="str">
        <f aca="false">IF(B35="","","PC-"&amp;TEXT(ROW()-2,"000"))</f>
        <v/>
      </c>
      <c r="B35" s="50"/>
      <c r="C35" s="50"/>
      <c r="D35" s="51"/>
      <c r="E35" s="51"/>
      <c r="F35" s="51"/>
      <c r="G35" s="50"/>
      <c r="H35" s="50"/>
      <c r="I35" s="50"/>
      <c r="J35" s="51"/>
      <c r="K35" s="50"/>
      <c r="L35" s="50"/>
      <c r="M35" s="50"/>
      <c r="N35" s="50"/>
      <c r="O35" s="52"/>
      <c r="P35" s="50"/>
      <c r="Q35" s="52"/>
      <c r="R35" s="52"/>
      <c r="S35" s="49" t="str">
        <f aca="false">IF(B35="","",IF(OR(O35="",R35=""),"—",IF(O35&lt;=R35,"⚠ RÉAPPRO","OK")))</f>
        <v/>
      </c>
      <c r="T35" s="50"/>
      <c r="U35" s="50"/>
      <c r="V35" s="50"/>
      <c r="W35" s="50"/>
      <c r="X35" s="50"/>
      <c r="Y35" s="53" t="str">
        <f aca="false">IF(B35="","",IF(X35="","—",IF(X35="Non classé","Non classé",IFERROR(INDEX(RefH_Classe,MATCH(TRIM(LEFT(X35,FIND(",",X35&amp;",")-1)),RefH_Code,0)),"Code H inconnu"))))</f>
        <v/>
      </c>
      <c r="Z35" s="50"/>
      <c r="AA35" s="50"/>
      <c r="AB35" s="51"/>
      <c r="AC35" s="51"/>
      <c r="AD35" s="51"/>
      <c r="AE35" s="51"/>
      <c r="AF35" s="50"/>
      <c r="AG35" s="51"/>
      <c r="AH35" s="54"/>
      <c r="AI35" s="51"/>
      <c r="AJ35" s="55" t="str">
        <f aca="false">IF(AH35="","",EDATE(AH35,60))</f>
        <v/>
      </c>
      <c r="AK35" s="49" t="str">
        <f aca="true">IF(B35="","",IF(OR(AG35="Non",AH35=""),"FDS ABSENTE",IF(TODAY()&gt;=EDATE(AH35,60),"EXPIRÉE",IF(TODAY()&gt;=EDATE(AH35,54),"À RENOUVELER","CONFORME"))))</f>
        <v/>
      </c>
      <c r="AL35" s="50"/>
      <c r="AM35" s="54"/>
      <c r="AN35" s="54"/>
      <c r="AO35" s="50"/>
      <c r="AP35" s="50"/>
      <c r="AQ35" s="50"/>
      <c r="AR35" s="50"/>
      <c r="AS35" s="50"/>
      <c r="AT35" s="50"/>
      <c r="AU35" s="50"/>
      <c r="AV35" s="50"/>
      <c r="AW35" s="52"/>
      <c r="AX35" s="52"/>
      <c r="AY35" s="56" t="str">
        <f aca="false">IF(OR(AW35="",AX35=""),"",AW35*AX35)</f>
        <v/>
      </c>
      <c r="AZ35" s="52"/>
      <c r="BA35" s="56" t="str">
        <f aca="false">IF(AY35="","",IF(AZ35="",AY35,ROUNDUP(AY35/AZ35,0)))</f>
        <v/>
      </c>
      <c r="BB35" s="49" t="str">
        <f aca="false">IF(BA35="","",IF(BA35&gt;=15,"P1 – Critique",IF(BA35&gt;=8,"P2 – Élevée",IF(BA35&gt;=4,"P3 – Modérée","P4 – Faible"))))</f>
        <v/>
      </c>
      <c r="BC35" s="50"/>
      <c r="BD35" s="50"/>
      <c r="BE35" s="54"/>
      <c r="BF35" s="57"/>
      <c r="BG35" s="50"/>
      <c r="BH35" s="54"/>
      <c r="BI35" s="54"/>
      <c r="BJ35" s="50"/>
      <c r="BK35" s="50"/>
    </row>
    <row r="36" customFormat="false" ht="15" hidden="false" customHeight="false" outlineLevel="0" collapsed="false">
      <c r="A36" s="49" t="str">
        <f aca="false">IF(B36="","","PC-"&amp;TEXT(ROW()-2,"000"))</f>
        <v/>
      </c>
      <c r="B36" s="50"/>
      <c r="C36" s="50"/>
      <c r="D36" s="51"/>
      <c r="E36" s="51"/>
      <c r="F36" s="51"/>
      <c r="G36" s="50"/>
      <c r="H36" s="50"/>
      <c r="I36" s="50"/>
      <c r="J36" s="51"/>
      <c r="K36" s="50"/>
      <c r="L36" s="50"/>
      <c r="M36" s="50"/>
      <c r="N36" s="50"/>
      <c r="O36" s="52"/>
      <c r="P36" s="50"/>
      <c r="Q36" s="52"/>
      <c r="R36" s="52"/>
      <c r="S36" s="49" t="str">
        <f aca="false">IF(B36="","",IF(OR(O36="",R36=""),"—",IF(O36&lt;=R36,"⚠ RÉAPPRO","OK")))</f>
        <v/>
      </c>
      <c r="T36" s="50"/>
      <c r="U36" s="50"/>
      <c r="V36" s="50"/>
      <c r="W36" s="50"/>
      <c r="X36" s="50"/>
      <c r="Y36" s="53" t="str">
        <f aca="false">IF(B36="","",IF(X36="","—",IF(X36="Non classé","Non classé",IFERROR(INDEX(RefH_Classe,MATCH(TRIM(LEFT(X36,FIND(",",X36&amp;",")-1)),RefH_Code,0)),"Code H inconnu"))))</f>
        <v/>
      </c>
      <c r="Z36" s="50"/>
      <c r="AA36" s="50"/>
      <c r="AB36" s="51"/>
      <c r="AC36" s="51"/>
      <c r="AD36" s="51"/>
      <c r="AE36" s="51"/>
      <c r="AF36" s="50"/>
      <c r="AG36" s="51"/>
      <c r="AH36" s="54"/>
      <c r="AI36" s="51"/>
      <c r="AJ36" s="55" t="str">
        <f aca="false">IF(AH36="","",EDATE(AH36,60))</f>
        <v/>
      </c>
      <c r="AK36" s="49" t="str">
        <f aca="true">IF(B36="","",IF(OR(AG36="Non",AH36=""),"FDS ABSENTE",IF(TODAY()&gt;=EDATE(AH36,60),"EXPIRÉE",IF(TODAY()&gt;=EDATE(AH36,54),"À RENOUVELER","CONFORME"))))</f>
        <v/>
      </c>
      <c r="AL36" s="50"/>
      <c r="AM36" s="54"/>
      <c r="AN36" s="54"/>
      <c r="AO36" s="50"/>
      <c r="AP36" s="50"/>
      <c r="AQ36" s="50"/>
      <c r="AR36" s="50"/>
      <c r="AS36" s="50"/>
      <c r="AT36" s="50"/>
      <c r="AU36" s="50"/>
      <c r="AV36" s="50"/>
      <c r="AW36" s="52"/>
      <c r="AX36" s="52"/>
      <c r="AY36" s="56" t="str">
        <f aca="false">IF(OR(AW36="",AX36=""),"",AW36*AX36)</f>
        <v/>
      </c>
      <c r="AZ36" s="52"/>
      <c r="BA36" s="56" t="str">
        <f aca="false">IF(AY36="","",IF(AZ36="",AY36,ROUNDUP(AY36/AZ36,0)))</f>
        <v/>
      </c>
      <c r="BB36" s="49" t="str">
        <f aca="false">IF(BA36="","",IF(BA36&gt;=15,"P1 – Critique",IF(BA36&gt;=8,"P2 – Élevée",IF(BA36&gt;=4,"P3 – Modérée","P4 – Faible"))))</f>
        <v/>
      </c>
      <c r="BC36" s="50"/>
      <c r="BD36" s="50"/>
      <c r="BE36" s="54"/>
      <c r="BF36" s="57"/>
      <c r="BG36" s="50"/>
      <c r="BH36" s="54"/>
      <c r="BI36" s="54"/>
      <c r="BJ36" s="50"/>
      <c r="BK36" s="50"/>
    </row>
    <row r="37" customFormat="false" ht="15" hidden="false" customHeight="false" outlineLevel="0" collapsed="false">
      <c r="A37" s="49" t="str">
        <f aca="false">IF(B37="","","PC-"&amp;TEXT(ROW()-2,"000"))</f>
        <v/>
      </c>
      <c r="B37" s="50"/>
      <c r="C37" s="50"/>
      <c r="D37" s="51"/>
      <c r="E37" s="51"/>
      <c r="F37" s="51"/>
      <c r="G37" s="50"/>
      <c r="H37" s="50"/>
      <c r="I37" s="50"/>
      <c r="J37" s="51"/>
      <c r="K37" s="50"/>
      <c r="L37" s="50"/>
      <c r="M37" s="50"/>
      <c r="N37" s="50"/>
      <c r="O37" s="52"/>
      <c r="P37" s="50"/>
      <c r="Q37" s="52"/>
      <c r="R37" s="52"/>
      <c r="S37" s="49" t="str">
        <f aca="false">IF(B37="","",IF(OR(O37="",R37=""),"—",IF(O37&lt;=R37,"⚠ RÉAPPRO","OK")))</f>
        <v/>
      </c>
      <c r="T37" s="50"/>
      <c r="U37" s="50"/>
      <c r="V37" s="50"/>
      <c r="W37" s="50"/>
      <c r="X37" s="50"/>
      <c r="Y37" s="53" t="str">
        <f aca="false">IF(B37="","",IF(X37="","—",IF(X37="Non classé","Non classé",IFERROR(INDEX(RefH_Classe,MATCH(TRIM(LEFT(X37,FIND(",",X37&amp;",")-1)),RefH_Code,0)),"Code H inconnu"))))</f>
        <v/>
      </c>
      <c r="Z37" s="50"/>
      <c r="AA37" s="50"/>
      <c r="AB37" s="51"/>
      <c r="AC37" s="51"/>
      <c r="AD37" s="51"/>
      <c r="AE37" s="51"/>
      <c r="AF37" s="50"/>
      <c r="AG37" s="51"/>
      <c r="AH37" s="54"/>
      <c r="AI37" s="51"/>
      <c r="AJ37" s="55" t="str">
        <f aca="false">IF(AH37="","",EDATE(AH37,60))</f>
        <v/>
      </c>
      <c r="AK37" s="49" t="str">
        <f aca="true">IF(B37="","",IF(OR(AG37="Non",AH37=""),"FDS ABSENTE",IF(TODAY()&gt;=EDATE(AH37,60),"EXPIRÉE",IF(TODAY()&gt;=EDATE(AH37,54),"À RENOUVELER","CONFORME"))))</f>
        <v/>
      </c>
      <c r="AL37" s="50"/>
      <c r="AM37" s="54"/>
      <c r="AN37" s="54"/>
      <c r="AO37" s="50"/>
      <c r="AP37" s="50"/>
      <c r="AQ37" s="50"/>
      <c r="AR37" s="50"/>
      <c r="AS37" s="50"/>
      <c r="AT37" s="50"/>
      <c r="AU37" s="50"/>
      <c r="AV37" s="50"/>
      <c r="AW37" s="52"/>
      <c r="AX37" s="52"/>
      <c r="AY37" s="56" t="str">
        <f aca="false">IF(OR(AW37="",AX37=""),"",AW37*AX37)</f>
        <v/>
      </c>
      <c r="AZ37" s="52"/>
      <c r="BA37" s="56" t="str">
        <f aca="false">IF(AY37="","",IF(AZ37="",AY37,ROUNDUP(AY37/AZ37,0)))</f>
        <v/>
      </c>
      <c r="BB37" s="49" t="str">
        <f aca="false">IF(BA37="","",IF(BA37&gt;=15,"P1 – Critique",IF(BA37&gt;=8,"P2 – Élevée",IF(BA37&gt;=4,"P3 – Modérée","P4 – Faible"))))</f>
        <v/>
      </c>
      <c r="BC37" s="50"/>
      <c r="BD37" s="50"/>
      <c r="BE37" s="54"/>
      <c r="BF37" s="57"/>
      <c r="BG37" s="50"/>
      <c r="BH37" s="54"/>
      <c r="BI37" s="54"/>
      <c r="BJ37" s="50"/>
      <c r="BK37" s="50"/>
    </row>
    <row r="38" customFormat="false" ht="15" hidden="false" customHeight="false" outlineLevel="0" collapsed="false">
      <c r="A38" s="49" t="str">
        <f aca="false">IF(B38="","","PC-"&amp;TEXT(ROW()-2,"000"))</f>
        <v/>
      </c>
      <c r="B38" s="50"/>
      <c r="C38" s="50"/>
      <c r="D38" s="51"/>
      <c r="E38" s="51"/>
      <c r="F38" s="51"/>
      <c r="G38" s="50"/>
      <c r="H38" s="50"/>
      <c r="I38" s="50"/>
      <c r="J38" s="51"/>
      <c r="K38" s="50"/>
      <c r="L38" s="50"/>
      <c r="M38" s="50"/>
      <c r="N38" s="50"/>
      <c r="O38" s="52"/>
      <c r="P38" s="50"/>
      <c r="Q38" s="52"/>
      <c r="R38" s="52"/>
      <c r="S38" s="49" t="str">
        <f aca="false">IF(B38="","",IF(OR(O38="",R38=""),"—",IF(O38&lt;=R38,"⚠ RÉAPPRO","OK")))</f>
        <v/>
      </c>
      <c r="T38" s="50"/>
      <c r="U38" s="50"/>
      <c r="V38" s="50"/>
      <c r="W38" s="50"/>
      <c r="X38" s="50"/>
      <c r="Y38" s="53" t="str">
        <f aca="false">IF(B38="","",IF(X38="","—",IF(X38="Non classé","Non classé",IFERROR(INDEX(RefH_Classe,MATCH(TRIM(LEFT(X38,FIND(",",X38&amp;",")-1)),RefH_Code,0)),"Code H inconnu"))))</f>
        <v/>
      </c>
      <c r="Z38" s="50"/>
      <c r="AA38" s="50"/>
      <c r="AB38" s="51"/>
      <c r="AC38" s="51"/>
      <c r="AD38" s="51"/>
      <c r="AE38" s="51"/>
      <c r="AF38" s="50"/>
      <c r="AG38" s="51"/>
      <c r="AH38" s="54"/>
      <c r="AI38" s="51"/>
      <c r="AJ38" s="55" t="str">
        <f aca="false">IF(AH38="","",EDATE(AH38,60))</f>
        <v/>
      </c>
      <c r="AK38" s="49" t="str">
        <f aca="true">IF(B38="","",IF(OR(AG38="Non",AH38=""),"FDS ABSENTE",IF(TODAY()&gt;=EDATE(AH38,60),"EXPIRÉE",IF(TODAY()&gt;=EDATE(AH38,54),"À RENOUVELER","CONFORME"))))</f>
        <v/>
      </c>
      <c r="AL38" s="50"/>
      <c r="AM38" s="54"/>
      <c r="AN38" s="54"/>
      <c r="AO38" s="50"/>
      <c r="AP38" s="50"/>
      <c r="AQ38" s="50"/>
      <c r="AR38" s="50"/>
      <c r="AS38" s="50"/>
      <c r="AT38" s="50"/>
      <c r="AU38" s="50"/>
      <c r="AV38" s="50"/>
      <c r="AW38" s="52"/>
      <c r="AX38" s="52"/>
      <c r="AY38" s="56" t="str">
        <f aca="false">IF(OR(AW38="",AX38=""),"",AW38*AX38)</f>
        <v/>
      </c>
      <c r="AZ38" s="52"/>
      <c r="BA38" s="56" t="str">
        <f aca="false">IF(AY38="","",IF(AZ38="",AY38,ROUNDUP(AY38/AZ38,0)))</f>
        <v/>
      </c>
      <c r="BB38" s="49" t="str">
        <f aca="false">IF(BA38="","",IF(BA38&gt;=15,"P1 – Critique",IF(BA38&gt;=8,"P2 – Élevée",IF(BA38&gt;=4,"P3 – Modérée","P4 – Faible"))))</f>
        <v/>
      </c>
      <c r="BC38" s="50"/>
      <c r="BD38" s="50"/>
      <c r="BE38" s="54"/>
      <c r="BF38" s="57"/>
      <c r="BG38" s="50"/>
      <c r="BH38" s="54"/>
      <c r="BI38" s="54"/>
      <c r="BJ38" s="50"/>
      <c r="BK38" s="50"/>
    </row>
    <row r="39" customFormat="false" ht="15" hidden="false" customHeight="false" outlineLevel="0" collapsed="false">
      <c r="A39" s="49" t="str">
        <f aca="false">IF(B39="","","PC-"&amp;TEXT(ROW()-2,"000"))</f>
        <v/>
      </c>
      <c r="B39" s="50"/>
      <c r="C39" s="50"/>
      <c r="D39" s="51"/>
      <c r="E39" s="51"/>
      <c r="F39" s="51"/>
      <c r="G39" s="50"/>
      <c r="H39" s="50"/>
      <c r="I39" s="50"/>
      <c r="J39" s="51"/>
      <c r="K39" s="50"/>
      <c r="L39" s="50"/>
      <c r="M39" s="50"/>
      <c r="N39" s="50"/>
      <c r="O39" s="52"/>
      <c r="P39" s="50"/>
      <c r="Q39" s="52"/>
      <c r="R39" s="52"/>
      <c r="S39" s="49" t="str">
        <f aca="false">IF(B39="","",IF(OR(O39="",R39=""),"—",IF(O39&lt;=R39,"⚠ RÉAPPRO","OK")))</f>
        <v/>
      </c>
      <c r="T39" s="50"/>
      <c r="U39" s="50"/>
      <c r="V39" s="50"/>
      <c r="W39" s="50"/>
      <c r="X39" s="50"/>
      <c r="Y39" s="53" t="str">
        <f aca="false">IF(B39="","",IF(X39="","—",IF(X39="Non classé","Non classé",IFERROR(INDEX(RefH_Classe,MATCH(TRIM(LEFT(X39,FIND(",",X39&amp;",")-1)),RefH_Code,0)),"Code H inconnu"))))</f>
        <v/>
      </c>
      <c r="Z39" s="50"/>
      <c r="AA39" s="50"/>
      <c r="AB39" s="51"/>
      <c r="AC39" s="51"/>
      <c r="AD39" s="51"/>
      <c r="AE39" s="51"/>
      <c r="AF39" s="50"/>
      <c r="AG39" s="51"/>
      <c r="AH39" s="54"/>
      <c r="AI39" s="51"/>
      <c r="AJ39" s="55" t="str">
        <f aca="false">IF(AH39="","",EDATE(AH39,60))</f>
        <v/>
      </c>
      <c r="AK39" s="49" t="str">
        <f aca="true">IF(B39="","",IF(OR(AG39="Non",AH39=""),"FDS ABSENTE",IF(TODAY()&gt;=EDATE(AH39,60),"EXPIRÉE",IF(TODAY()&gt;=EDATE(AH39,54),"À RENOUVELER","CONFORME"))))</f>
        <v/>
      </c>
      <c r="AL39" s="50"/>
      <c r="AM39" s="54"/>
      <c r="AN39" s="54"/>
      <c r="AO39" s="50"/>
      <c r="AP39" s="50"/>
      <c r="AQ39" s="50"/>
      <c r="AR39" s="50"/>
      <c r="AS39" s="50"/>
      <c r="AT39" s="50"/>
      <c r="AU39" s="50"/>
      <c r="AV39" s="50"/>
      <c r="AW39" s="52"/>
      <c r="AX39" s="52"/>
      <c r="AY39" s="56" t="str">
        <f aca="false">IF(OR(AW39="",AX39=""),"",AW39*AX39)</f>
        <v/>
      </c>
      <c r="AZ39" s="52"/>
      <c r="BA39" s="56" t="str">
        <f aca="false">IF(AY39="","",IF(AZ39="",AY39,ROUNDUP(AY39/AZ39,0)))</f>
        <v/>
      </c>
      <c r="BB39" s="49" t="str">
        <f aca="false">IF(BA39="","",IF(BA39&gt;=15,"P1 – Critique",IF(BA39&gt;=8,"P2 – Élevée",IF(BA39&gt;=4,"P3 – Modérée","P4 – Faible"))))</f>
        <v/>
      </c>
      <c r="BC39" s="50"/>
      <c r="BD39" s="50"/>
      <c r="BE39" s="54"/>
      <c r="BF39" s="57"/>
      <c r="BG39" s="50"/>
      <c r="BH39" s="54"/>
      <c r="BI39" s="54"/>
      <c r="BJ39" s="50"/>
      <c r="BK39" s="50"/>
    </row>
    <row r="40" customFormat="false" ht="15" hidden="false" customHeight="false" outlineLevel="0" collapsed="false">
      <c r="A40" s="49" t="str">
        <f aca="false">IF(B40="","","PC-"&amp;TEXT(ROW()-2,"000"))</f>
        <v/>
      </c>
      <c r="B40" s="50"/>
      <c r="C40" s="50"/>
      <c r="D40" s="51"/>
      <c r="E40" s="51"/>
      <c r="F40" s="51"/>
      <c r="G40" s="50"/>
      <c r="H40" s="50"/>
      <c r="I40" s="50"/>
      <c r="J40" s="51"/>
      <c r="K40" s="50"/>
      <c r="L40" s="50"/>
      <c r="M40" s="50"/>
      <c r="N40" s="50"/>
      <c r="O40" s="52"/>
      <c r="P40" s="50"/>
      <c r="Q40" s="52"/>
      <c r="R40" s="52"/>
      <c r="S40" s="49" t="str">
        <f aca="false">IF(B40="","",IF(OR(O40="",R40=""),"—",IF(O40&lt;=R40,"⚠ RÉAPPRO","OK")))</f>
        <v/>
      </c>
      <c r="T40" s="50"/>
      <c r="U40" s="50"/>
      <c r="V40" s="50"/>
      <c r="W40" s="50"/>
      <c r="X40" s="50"/>
      <c r="Y40" s="53" t="str">
        <f aca="false">IF(B40="","",IF(X40="","—",IF(X40="Non classé","Non classé",IFERROR(INDEX(RefH_Classe,MATCH(TRIM(LEFT(X40,FIND(",",X40&amp;",")-1)),RefH_Code,0)),"Code H inconnu"))))</f>
        <v/>
      </c>
      <c r="Z40" s="50"/>
      <c r="AA40" s="50"/>
      <c r="AB40" s="51"/>
      <c r="AC40" s="51"/>
      <c r="AD40" s="51"/>
      <c r="AE40" s="51"/>
      <c r="AF40" s="50"/>
      <c r="AG40" s="51"/>
      <c r="AH40" s="54"/>
      <c r="AI40" s="51"/>
      <c r="AJ40" s="55" t="str">
        <f aca="false">IF(AH40="","",EDATE(AH40,60))</f>
        <v/>
      </c>
      <c r="AK40" s="49" t="str">
        <f aca="true">IF(B40="","",IF(OR(AG40="Non",AH40=""),"FDS ABSENTE",IF(TODAY()&gt;=EDATE(AH40,60),"EXPIRÉE",IF(TODAY()&gt;=EDATE(AH40,54),"À RENOUVELER","CONFORME"))))</f>
        <v/>
      </c>
      <c r="AL40" s="50"/>
      <c r="AM40" s="54"/>
      <c r="AN40" s="54"/>
      <c r="AO40" s="50"/>
      <c r="AP40" s="50"/>
      <c r="AQ40" s="50"/>
      <c r="AR40" s="50"/>
      <c r="AS40" s="50"/>
      <c r="AT40" s="50"/>
      <c r="AU40" s="50"/>
      <c r="AV40" s="50"/>
      <c r="AW40" s="52"/>
      <c r="AX40" s="52"/>
      <c r="AY40" s="56" t="str">
        <f aca="false">IF(OR(AW40="",AX40=""),"",AW40*AX40)</f>
        <v/>
      </c>
      <c r="AZ40" s="52"/>
      <c r="BA40" s="56" t="str">
        <f aca="false">IF(AY40="","",IF(AZ40="",AY40,ROUNDUP(AY40/AZ40,0)))</f>
        <v/>
      </c>
      <c r="BB40" s="49" t="str">
        <f aca="false">IF(BA40="","",IF(BA40&gt;=15,"P1 – Critique",IF(BA40&gt;=8,"P2 – Élevée",IF(BA40&gt;=4,"P3 – Modérée","P4 – Faible"))))</f>
        <v/>
      </c>
      <c r="BC40" s="50"/>
      <c r="BD40" s="50"/>
      <c r="BE40" s="54"/>
      <c r="BF40" s="57"/>
      <c r="BG40" s="50"/>
      <c r="BH40" s="54"/>
      <c r="BI40" s="54"/>
      <c r="BJ40" s="50"/>
      <c r="BK40" s="50"/>
    </row>
    <row r="41" customFormat="false" ht="15" hidden="false" customHeight="false" outlineLevel="0" collapsed="false">
      <c r="A41" s="49" t="str">
        <f aca="false">IF(B41="","","PC-"&amp;TEXT(ROW()-2,"000"))</f>
        <v/>
      </c>
      <c r="B41" s="50"/>
      <c r="C41" s="50"/>
      <c r="D41" s="51"/>
      <c r="E41" s="51"/>
      <c r="F41" s="51"/>
      <c r="G41" s="50"/>
      <c r="H41" s="50"/>
      <c r="I41" s="50"/>
      <c r="J41" s="51"/>
      <c r="K41" s="50"/>
      <c r="L41" s="50"/>
      <c r="M41" s="50"/>
      <c r="N41" s="50"/>
      <c r="O41" s="52"/>
      <c r="P41" s="50"/>
      <c r="Q41" s="52"/>
      <c r="R41" s="52"/>
      <c r="S41" s="49" t="str">
        <f aca="false">IF(B41="","",IF(OR(O41="",R41=""),"—",IF(O41&lt;=R41,"⚠ RÉAPPRO","OK")))</f>
        <v/>
      </c>
      <c r="T41" s="50"/>
      <c r="U41" s="50"/>
      <c r="V41" s="50"/>
      <c r="W41" s="50"/>
      <c r="X41" s="50"/>
      <c r="Y41" s="53" t="str">
        <f aca="false">IF(B41="","",IF(X41="","—",IF(X41="Non classé","Non classé",IFERROR(INDEX(RefH_Classe,MATCH(TRIM(LEFT(X41,FIND(",",X41&amp;",")-1)),RefH_Code,0)),"Code H inconnu"))))</f>
        <v/>
      </c>
      <c r="Z41" s="50"/>
      <c r="AA41" s="50"/>
      <c r="AB41" s="51"/>
      <c r="AC41" s="51"/>
      <c r="AD41" s="51"/>
      <c r="AE41" s="51"/>
      <c r="AF41" s="50"/>
      <c r="AG41" s="51"/>
      <c r="AH41" s="54"/>
      <c r="AI41" s="51"/>
      <c r="AJ41" s="55" t="str">
        <f aca="false">IF(AH41="","",EDATE(AH41,60))</f>
        <v/>
      </c>
      <c r="AK41" s="49" t="str">
        <f aca="true">IF(B41="","",IF(OR(AG41="Non",AH41=""),"FDS ABSENTE",IF(TODAY()&gt;=EDATE(AH41,60),"EXPIRÉE",IF(TODAY()&gt;=EDATE(AH41,54),"À RENOUVELER","CONFORME"))))</f>
        <v/>
      </c>
      <c r="AL41" s="50"/>
      <c r="AM41" s="54"/>
      <c r="AN41" s="54"/>
      <c r="AO41" s="50"/>
      <c r="AP41" s="50"/>
      <c r="AQ41" s="50"/>
      <c r="AR41" s="50"/>
      <c r="AS41" s="50"/>
      <c r="AT41" s="50"/>
      <c r="AU41" s="50"/>
      <c r="AV41" s="50"/>
      <c r="AW41" s="52"/>
      <c r="AX41" s="52"/>
      <c r="AY41" s="56" t="str">
        <f aca="false">IF(OR(AW41="",AX41=""),"",AW41*AX41)</f>
        <v/>
      </c>
      <c r="AZ41" s="52"/>
      <c r="BA41" s="56" t="str">
        <f aca="false">IF(AY41="","",IF(AZ41="",AY41,ROUNDUP(AY41/AZ41,0)))</f>
        <v/>
      </c>
      <c r="BB41" s="49" t="str">
        <f aca="false">IF(BA41="","",IF(BA41&gt;=15,"P1 – Critique",IF(BA41&gt;=8,"P2 – Élevée",IF(BA41&gt;=4,"P3 – Modérée","P4 – Faible"))))</f>
        <v/>
      </c>
      <c r="BC41" s="50"/>
      <c r="BD41" s="50"/>
      <c r="BE41" s="54"/>
      <c r="BF41" s="57"/>
      <c r="BG41" s="50"/>
      <c r="BH41" s="54"/>
      <c r="BI41" s="54"/>
      <c r="BJ41" s="50"/>
      <c r="BK41" s="50"/>
    </row>
    <row r="42" customFormat="false" ht="15" hidden="false" customHeight="false" outlineLevel="0" collapsed="false">
      <c r="A42" s="49" t="str">
        <f aca="false">IF(B42="","","PC-"&amp;TEXT(ROW()-2,"000"))</f>
        <v/>
      </c>
      <c r="B42" s="50"/>
      <c r="C42" s="50"/>
      <c r="D42" s="51"/>
      <c r="E42" s="51"/>
      <c r="F42" s="51"/>
      <c r="G42" s="50"/>
      <c r="H42" s="50"/>
      <c r="I42" s="50"/>
      <c r="J42" s="51"/>
      <c r="K42" s="50"/>
      <c r="L42" s="50"/>
      <c r="M42" s="50"/>
      <c r="N42" s="50"/>
      <c r="O42" s="52"/>
      <c r="P42" s="50"/>
      <c r="Q42" s="52"/>
      <c r="R42" s="52"/>
      <c r="S42" s="49" t="str">
        <f aca="false">IF(B42="","",IF(OR(O42="",R42=""),"—",IF(O42&lt;=R42,"⚠ RÉAPPRO","OK")))</f>
        <v/>
      </c>
      <c r="T42" s="50"/>
      <c r="U42" s="50"/>
      <c r="V42" s="50"/>
      <c r="W42" s="50"/>
      <c r="X42" s="50"/>
      <c r="Y42" s="53" t="str">
        <f aca="false">IF(B42="","",IF(X42="","—",IF(X42="Non classé","Non classé",IFERROR(INDEX(RefH_Classe,MATCH(TRIM(LEFT(X42,FIND(",",X42&amp;",")-1)),RefH_Code,0)),"Code H inconnu"))))</f>
        <v/>
      </c>
      <c r="Z42" s="50"/>
      <c r="AA42" s="50"/>
      <c r="AB42" s="51"/>
      <c r="AC42" s="51"/>
      <c r="AD42" s="51"/>
      <c r="AE42" s="51"/>
      <c r="AF42" s="50"/>
      <c r="AG42" s="51"/>
      <c r="AH42" s="54"/>
      <c r="AI42" s="51"/>
      <c r="AJ42" s="55" t="str">
        <f aca="false">IF(AH42="","",EDATE(AH42,60))</f>
        <v/>
      </c>
      <c r="AK42" s="49" t="str">
        <f aca="true">IF(B42="","",IF(OR(AG42="Non",AH42=""),"FDS ABSENTE",IF(TODAY()&gt;=EDATE(AH42,60),"EXPIRÉE",IF(TODAY()&gt;=EDATE(AH42,54),"À RENOUVELER","CONFORME"))))</f>
        <v/>
      </c>
      <c r="AL42" s="50"/>
      <c r="AM42" s="54"/>
      <c r="AN42" s="54"/>
      <c r="AO42" s="50"/>
      <c r="AP42" s="50"/>
      <c r="AQ42" s="50"/>
      <c r="AR42" s="50"/>
      <c r="AS42" s="50"/>
      <c r="AT42" s="50"/>
      <c r="AU42" s="50"/>
      <c r="AV42" s="50"/>
      <c r="AW42" s="52"/>
      <c r="AX42" s="52"/>
      <c r="AY42" s="56" t="str">
        <f aca="false">IF(OR(AW42="",AX42=""),"",AW42*AX42)</f>
        <v/>
      </c>
      <c r="AZ42" s="52"/>
      <c r="BA42" s="56" t="str">
        <f aca="false">IF(AY42="","",IF(AZ42="",AY42,ROUNDUP(AY42/AZ42,0)))</f>
        <v/>
      </c>
      <c r="BB42" s="49" t="str">
        <f aca="false">IF(BA42="","",IF(BA42&gt;=15,"P1 – Critique",IF(BA42&gt;=8,"P2 – Élevée",IF(BA42&gt;=4,"P3 – Modérée","P4 – Faible"))))</f>
        <v/>
      </c>
      <c r="BC42" s="50"/>
      <c r="BD42" s="50"/>
      <c r="BE42" s="54"/>
      <c r="BF42" s="57"/>
      <c r="BG42" s="50"/>
      <c r="BH42" s="54"/>
      <c r="BI42" s="54"/>
      <c r="BJ42" s="50"/>
      <c r="BK42" s="50"/>
    </row>
    <row r="43" customFormat="false" ht="15" hidden="false" customHeight="false" outlineLevel="0" collapsed="false">
      <c r="A43" s="49" t="str">
        <f aca="false">IF(B43="","","PC-"&amp;TEXT(ROW()-2,"000"))</f>
        <v/>
      </c>
      <c r="B43" s="50"/>
      <c r="C43" s="50"/>
      <c r="D43" s="51"/>
      <c r="E43" s="51"/>
      <c r="F43" s="51"/>
      <c r="G43" s="50"/>
      <c r="H43" s="50"/>
      <c r="I43" s="50"/>
      <c r="J43" s="51"/>
      <c r="K43" s="50"/>
      <c r="L43" s="50"/>
      <c r="M43" s="50"/>
      <c r="N43" s="50"/>
      <c r="O43" s="52"/>
      <c r="P43" s="50"/>
      <c r="Q43" s="52"/>
      <c r="R43" s="52"/>
      <c r="S43" s="49" t="str">
        <f aca="false">IF(B43="","",IF(OR(O43="",R43=""),"—",IF(O43&lt;=R43,"⚠ RÉAPPRO","OK")))</f>
        <v/>
      </c>
      <c r="T43" s="50"/>
      <c r="U43" s="50"/>
      <c r="V43" s="50"/>
      <c r="W43" s="50"/>
      <c r="X43" s="50"/>
      <c r="Y43" s="53" t="str">
        <f aca="false">IF(B43="","",IF(X43="","—",IF(X43="Non classé","Non classé",IFERROR(INDEX(RefH_Classe,MATCH(TRIM(LEFT(X43,FIND(",",X43&amp;",")-1)),RefH_Code,0)),"Code H inconnu"))))</f>
        <v/>
      </c>
      <c r="Z43" s="50"/>
      <c r="AA43" s="50"/>
      <c r="AB43" s="51"/>
      <c r="AC43" s="51"/>
      <c r="AD43" s="51"/>
      <c r="AE43" s="51"/>
      <c r="AF43" s="50"/>
      <c r="AG43" s="51"/>
      <c r="AH43" s="54"/>
      <c r="AI43" s="51"/>
      <c r="AJ43" s="55" t="str">
        <f aca="false">IF(AH43="","",EDATE(AH43,60))</f>
        <v/>
      </c>
      <c r="AK43" s="49" t="str">
        <f aca="true">IF(B43="","",IF(OR(AG43="Non",AH43=""),"FDS ABSENTE",IF(TODAY()&gt;=EDATE(AH43,60),"EXPIRÉE",IF(TODAY()&gt;=EDATE(AH43,54),"À RENOUVELER","CONFORME"))))</f>
        <v/>
      </c>
      <c r="AL43" s="50"/>
      <c r="AM43" s="54"/>
      <c r="AN43" s="54"/>
      <c r="AO43" s="50"/>
      <c r="AP43" s="50"/>
      <c r="AQ43" s="50"/>
      <c r="AR43" s="50"/>
      <c r="AS43" s="50"/>
      <c r="AT43" s="50"/>
      <c r="AU43" s="50"/>
      <c r="AV43" s="50"/>
      <c r="AW43" s="52"/>
      <c r="AX43" s="52"/>
      <c r="AY43" s="56" t="str">
        <f aca="false">IF(OR(AW43="",AX43=""),"",AW43*AX43)</f>
        <v/>
      </c>
      <c r="AZ43" s="52"/>
      <c r="BA43" s="56" t="str">
        <f aca="false">IF(AY43="","",IF(AZ43="",AY43,ROUNDUP(AY43/AZ43,0)))</f>
        <v/>
      </c>
      <c r="BB43" s="49" t="str">
        <f aca="false">IF(BA43="","",IF(BA43&gt;=15,"P1 – Critique",IF(BA43&gt;=8,"P2 – Élevée",IF(BA43&gt;=4,"P3 – Modérée","P4 – Faible"))))</f>
        <v/>
      </c>
      <c r="BC43" s="50"/>
      <c r="BD43" s="50"/>
      <c r="BE43" s="54"/>
      <c r="BF43" s="57"/>
      <c r="BG43" s="50"/>
      <c r="BH43" s="54"/>
      <c r="BI43" s="54"/>
      <c r="BJ43" s="50"/>
      <c r="BK43" s="50"/>
    </row>
    <row r="44" customFormat="false" ht="15" hidden="false" customHeight="false" outlineLevel="0" collapsed="false">
      <c r="A44" s="49" t="str">
        <f aca="false">IF(B44="","","PC-"&amp;TEXT(ROW()-2,"000"))</f>
        <v/>
      </c>
      <c r="B44" s="50"/>
      <c r="C44" s="50"/>
      <c r="D44" s="51"/>
      <c r="E44" s="51"/>
      <c r="F44" s="51"/>
      <c r="G44" s="50"/>
      <c r="H44" s="50"/>
      <c r="I44" s="50"/>
      <c r="J44" s="51"/>
      <c r="K44" s="50"/>
      <c r="L44" s="50"/>
      <c r="M44" s="50"/>
      <c r="N44" s="50"/>
      <c r="O44" s="52"/>
      <c r="P44" s="50"/>
      <c r="Q44" s="52"/>
      <c r="R44" s="52"/>
      <c r="S44" s="49" t="str">
        <f aca="false">IF(B44="","",IF(OR(O44="",R44=""),"—",IF(O44&lt;=R44,"⚠ RÉAPPRO","OK")))</f>
        <v/>
      </c>
      <c r="T44" s="50"/>
      <c r="U44" s="50"/>
      <c r="V44" s="50"/>
      <c r="W44" s="50"/>
      <c r="X44" s="50"/>
      <c r="Y44" s="53" t="str">
        <f aca="false">IF(B44="","",IF(X44="","—",IF(X44="Non classé","Non classé",IFERROR(INDEX(RefH_Classe,MATCH(TRIM(LEFT(X44,FIND(",",X44&amp;",")-1)),RefH_Code,0)),"Code H inconnu"))))</f>
        <v/>
      </c>
      <c r="Z44" s="50"/>
      <c r="AA44" s="50"/>
      <c r="AB44" s="51"/>
      <c r="AC44" s="51"/>
      <c r="AD44" s="51"/>
      <c r="AE44" s="51"/>
      <c r="AF44" s="50"/>
      <c r="AG44" s="51"/>
      <c r="AH44" s="54"/>
      <c r="AI44" s="51"/>
      <c r="AJ44" s="55" t="str">
        <f aca="false">IF(AH44="","",EDATE(AH44,60))</f>
        <v/>
      </c>
      <c r="AK44" s="49" t="str">
        <f aca="true">IF(B44="","",IF(OR(AG44="Non",AH44=""),"FDS ABSENTE",IF(TODAY()&gt;=EDATE(AH44,60),"EXPIRÉE",IF(TODAY()&gt;=EDATE(AH44,54),"À RENOUVELER","CONFORME"))))</f>
        <v/>
      </c>
      <c r="AL44" s="50"/>
      <c r="AM44" s="54"/>
      <c r="AN44" s="54"/>
      <c r="AO44" s="50"/>
      <c r="AP44" s="50"/>
      <c r="AQ44" s="50"/>
      <c r="AR44" s="50"/>
      <c r="AS44" s="50"/>
      <c r="AT44" s="50"/>
      <c r="AU44" s="50"/>
      <c r="AV44" s="50"/>
      <c r="AW44" s="52"/>
      <c r="AX44" s="52"/>
      <c r="AY44" s="56" t="str">
        <f aca="false">IF(OR(AW44="",AX44=""),"",AW44*AX44)</f>
        <v/>
      </c>
      <c r="AZ44" s="52"/>
      <c r="BA44" s="56" t="str">
        <f aca="false">IF(AY44="","",IF(AZ44="",AY44,ROUNDUP(AY44/AZ44,0)))</f>
        <v/>
      </c>
      <c r="BB44" s="49" t="str">
        <f aca="false">IF(BA44="","",IF(BA44&gt;=15,"P1 – Critique",IF(BA44&gt;=8,"P2 – Élevée",IF(BA44&gt;=4,"P3 – Modérée","P4 – Faible"))))</f>
        <v/>
      </c>
      <c r="BC44" s="50"/>
      <c r="BD44" s="50"/>
      <c r="BE44" s="54"/>
      <c r="BF44" s="57"/>
      <c r="BG44" s="50"/>
      <c r="BH44" s="54"/>
      <c r="BI44" s="54"/>
      <c r="BJ44" s="50"/>
      <c r="BK44" s="50"/>
    </row>
    <row r="45" customFormat="false" ht="15" hidden="false" customHeight="false" outlineLevel="0" collapsed="false">
      <c r="A45" s="49" t="str">
        <f aca="false">IF(B45="","","PC-"&amp;TEXT(ROW()-2,"000"))</f>
        <v/>
      </c>
      <c r="B45" s="50"/>
      <c r="C45" s="50"/>
      <c r="D45" s="51"/>
      <c r="E45" s="51"/>
      <c r="F45" s="51"/>
      <c r="G45" s="50"/>
      <c r="H45" s="50"/>
      <c r="I45" s="50"/>
      <c r="J45" s="51"/>
      <c r="K45" s="50"/>
      <c r="L45" s="50"/>
      <c r="M45" s="50"/>
      <c r="N45" s="50"/>
      <c r="O45" s="52"/>
      <c r="P45" s="50"/>
      <c r="Q45" s="52"/>
      <c r="R45" s="52"/>
      <c r="S45" s="49" t="str">
        <f aca="false">IF(B45="","",IF(OR(O45="",R45=""),"—",IF(O45&lt;=R45,"⚠ RÉAPPRO","OK")))</f>
        <v/>
      </c>
      <c r="T45" s="50"/>
      <c r="U45" s="50"/>
      <c r="V45" s="50"/>
      <c r="W45" s="50"/>
      <c r="X45" s="50"/>
      <c r="Y45" s="53" t="str">
        <f aca="false">IF(B45="","",IF(X45="","—",IF(X45="Non classé","Non classé",IFERROR(INDEX(RefH_Classe,MATCH(TRIM(LEFT(X45,FIND(",",X45&amp;",")-1)),RefH_Code,0)),"Code H inconnu"))))</f>
        <v/>
      </c>
      <c r="Z45" s="50"/>
      <c r="AA45" s="50"/>
      <c r="AB45" s="51"/>
      <c r="AC45" s="51"/>
      <c r="AD45" s="51"/>
      <c r="AE45" s="51"/>
      <c r="AF45" s="50"/>
      <c r="AG45" s="51"/>
      <c r="AH45" s="54"/>
      <c r="AI45" s="51"/>
      <c r="AJ45" s="55" t="str">
        <f aca="false">IF(AH45="","",EDATE(AH45,60))</f>
        <v/>
      </c>
      <c r="AK45" s="49" t="str">
        <f aca="true">IF(B45="","",IF(OR(AG45="Non",AH45=""),"FDS ABSENTE",IF(TODAY()&gt;=EDATE(AH45,60),"EXPIRÉE",IF(TODAY()&gt;=EDATE(AH45,54),"À RENOUVELER","CONFORME"))))</f>
        <v/>
      </c>
      <c r="AL45" s="50"/>
      <c r="AM45" s="54"/>
      <c r="AN45" s="54"/>
      <c r="AO45" s="50"/>
      <c r="AP45" s="50"/>
      <c r="AQ45" s="50"/>
      <c r="AR45" s="50"/>
      <c r="AS45" s="50"/>
      <c r="AT45" s="50"/>
      <c r="AU45" s="50"/>
      <c r="AV45" s="50"/>
      <c r="AW45" s="52"/>
      <c r="AX45" s="52"/>
      <c r="AY45" s="56" t="str">
        <f aca="false">IF(OR(AW45="",AX45=""),"",AW45*AX45)</f>
        <v/>
      </c>
      <c r="AZ45" s="52"/>
      <c r="BA45" s="56" t="str">
        <f aca="false">IF(AY45="","",IF(AZ45="",AY45,ROUNDUP(AY45/AZ45,0)))</f>
        <v/>
      </c>
      <c r="BB45" s="49" t="str">
        <f aca="false">IF(BA45="","",IF(BA45&gt;=15,"P1 – Critique",IF(BA45&gt;=8,"P2 – Élevée",IF(BA45&gt;=4,"P3 – Modérée","P4 – Faible"))))</f>
        <v/>
      </c>
      <c r="BC45" s="50"/>
      <c r="BD45" s="50"/>
      <c r="BE45" s="54"/>
      <c r="BF45" s="57"/>
      <c r="BG45" s="50"/>
      <c r="BH45" s="54"/>
      <c r="BI45" s="54"/>
      <c r="BJ45" s="50"/>
      <c r="BK45" s="50"/>
    </row>
    <row r="46" customFormat="false" ht="15" hidden="false" customHeight="false" outlineLevel="0" collapsed="false">
      <c r="A46" s="49" t="str">
        <f aca="false">IF(B46="","","PC-"&amp;TEXT(ROW()-2,"000"))</f>
        <v/>
      </c>
      <c r="B46" s="50"/>
      <c r="C46" s="50"/>
      <c r="D46" s="51"/>
      <c r="E46" s="51"/>
      <c r="F46" s="51"/>
      <c r="G46" s="50"/>
      <c r="H46" s="50"/>
      <c r="I46" s="50"/>
      <c r="J46" s="51"/>
      <c r="K46" s="50"/>
      <c r="L46" s="50"/>
      <c r="M46" s="50"/>
      <c r="N46" s="50"/>
      <c r="O46" s="52"/>
      <c r="P46" s="50"/>
      <c r="Q46" s="52"/>
      <c r="R46" s="52"/>
      <c r="S46" s="49" t="str">
        <f aca="false">IF(B46="","",IF(OR(O46="",R46=""),"—",IF(O46&lt;=R46,"⚠ RÉAPPRO","OK")))</f>
        <v/>
      </c>
      <c r="T46" s="50"/>
      <c r="U46" s="50"/>
      <c r="V46" s="50"/>
      <c r="W46" s="50"/>
      <c r="X46" s="50"/>
      <c r="Y46" s="53" t="str">
        <f aca="false">IF(B46="","",IF(X46="","—",IF(X46="Non classé","Non classé",IFERROR(INDEX(RefH_Classe,MATCH(TRIM(LEFT(X46,FIND(",",X46&amp;",")-1)),RefH_Code,0)),"Code H inconnu"))))</f>
        <v/>
      </c>
      <c r="Z46" s="50"/>
      <c r="AA46" s="50"/>
      <c r="AB46" s="51"/>
      <c r="AC46" s="51"/>
      <c r="AD46" s="51"/>
      <c r="AE46" s="51"/>
      <c r="AF46" s="50"/>
      <c r="AG46" s="51"/>
      <c r="AH46" s="54"/>
      <c r="AI46" s="51"/>
      <c r="AJ46" s="55" t="str">
        <f aca="false">IF(AH46="","",EDATE(AH46,60))</f>
        <v/>
      </c>
      <c r="AK46" s="49" t="str">
        <f aca="true">IF(B46="","",IF(OR(AG46="Non",AH46=""),"FDS ABSENTE",IF(TODAY()&gt;=EDATE(AH46,60),"EXPIRÉE",IF(TODAY()&gt;=EDATE(AH46,54),"À RENOUVELER","CONFORME"))))</f>
        <v/>
      </c>
      <c r="AL46" s="50"/>
      <c r="AM46" s="54"/>
      <c r="AN46" s="54"/>
      <c r="AO46" s="50"/>
      <c r="AP46" s="50"/>
      <c r="AQ46" s="50"/>
      <c r="AR46" s="50"/>
      <c r="AS46" s="50"/>
      <c r="AT46" s="50"/>
      <c r="AU46" s="50"/>
      <c r="AV46" s="50"/>
      <c r="AW46" s="52"/>
      <c r="AX46" s="52"/>
      <c r="AY46" s="56" t="str">
        <f aca="false">IF(OR(AW46="",AX46=""),"",AW46*AX46)</f>
        <v/>
      </c>
      <c r="AZ46" s="52"/>
      <c r="BA46" s="56" t="str">
        <f aca="false">IF(AY46="","",IF(AZ46="",AY46,ROUNDUP(AY46/AZ46,0)))</f>
        <v/>
      </c>
      <c r="BB46" s="49" t="str">
        <f aca="false">IF(BA46="","",IF(BA46&gt;=15,"P1 – Critique",IF(BA46&gt;=8,"P2 – Élevée",IF(BA46&gt;=4,"P3 – Modérée","P4 – Faible"))))</f>
        <v/>
      </c>
      <c r="BC46" s="50"/>
      <c r="BD46" s="50"/>
      <c r="BE46" s="54"/>
      <c r="BF46" s="57"/>
      <c r="BG46" s="50"/>
      <c r="BH46" s="54"/>
      <c r="BI46" s="54"/>
      <c r="BJ46" s="50"/>
      <c r="BK46" s="50"/>
    </row>
    <row r="47" customFormat="false" ht="15" hidden="false" customHeight="false" outlineLevel="0" collapsed="false">
      <c r="A47" s="49" t="str">
        <f aca="false">IF(B47="","","PC-"&amp;TEXT(ROW()-2,"000"))</f>
        <v/>
      </c>
      <c r="B47" s="50"/>
      <c r="C47" s="50"/>
      <c r="D47" s="51"/>
      <c r="E47" s="51"/>
      <c r="F47" s="51"/>
      <c r="G47" s="50"/>
      <c r="H47" s="50"/>
      <c r="I47" s="50"/>
      <c r="J47" s="51"/>
      <c r="K47" s="50"/>
      <c r="L47" s="50"/>
      <c r="M47" s="50"/>
      <c r="N47" s="50"/>
      <c r="O47" s="52"/>
      <c r="P47" s="50"/>
      <c r="Q47" s="52"/>
      <c r="R47" s="52"/>
      <c r="S47" s="49" t="str">
        <f aca="false">IF(B47="","",IF(OR(O47="",R47=""),"—",IF(O47&lt;=R47,"⚠ RÉAPPRO","OK")))</f>
        <v/>
      </c>
      <c r="T47" s="50"/>
      <c r="U47" s="50"/>
      <c r="V47" s="50"/>
      <c r="W47" s="50"/>
      <c r="X47" s="50"/>
      <c r="Y47" s="53" t="str">
        <f aca="false">IF(B47="","",IF(X47="","—",IF(X47="Non classé","Non classé",IFERROR(INDEX(RefH_Classe,MATCH(TRIM(LEFT(X47,FIND(",",X47&amp;",")-1)),RefH_Code,0)),"Code H inconnu"))))</f>
        <v/>
      </c>
      <c r="Z47" s="50"/>
      <c r="AA47" s="50"/>
      <c r="AB47" s="51"/>
      <c r="AC47" s="51"/>
      <c r="AD47" s="51"/>
      <c r="AE47" s="51"/>
      <c r="AF47" s="50"/>
      <c r="AG47" s="51"/>
      <c r="AH47" s="54"/>
      <c r="AI47" s="51"/>
      <c r="AJ47" s="55" t="str">
        <f aca="false">IF(AH47="","",EDATE(AH47,60))</f>
        <v/>
      </c>
      <c r="AK47" s="49" t="str">
        <f aca="true">IF(B47="","",IF(OR(AG47="Non",AH47=""),"FDS ABSENTE",IF(TODAY()&gt;=EDATE(AH47,60),"EXPIRÉE",IF(TODAY()&gt;=EDATE(AH47,54),"À RENOUVELER","CONFORME"))))</f>
        <v/>
      </c>
      <c r="AL47" s="50"/>
      <c r="AM47" s="54"/>
      <c r="AN47" s="54"/>
      <c r="AO47" s="50"/>
      <c r="AP47" s="50"/>
      <c r="AQ47" s="50"/>
      <c r="AR47" s="50"/>
      <c r="AS47" s="50"/>
      <c r="AT47" s="50"/>
      <c r="AU47" s="50"/>
      <c r="AV47" s="50"/>
      <c r="AW47" s="52"/>
      <c r="AX47" s="52"/>
      <c r="AY47" s="56" t="str">
        <f aca="false">IF(OR(AW47="",AX47=""),"",AW47*AX47)</f>
        <v/>
      </c>
      <c r="AZ47" s="52"/>
      <c r="BA47" s="56" t="str">
        <f aca="false">IF(AY47="","",IF(AZ47="",AY47,ROUNDUP(AY47/AZ47,0)))</f>
        <v/>
      </c>
      <c r="BB47" s="49" t="str">
        <f aca="false">IF(BA47="","",IF(BA47&gt;=15,"P1 – Critique",IF(BA47&gt;=8,"P2 – Élevée",IF(BA47&gt;=4,"P3 – Modérée","P4 – Faible"))))</f>
        <v/>
      </c>
      <c r="BC47" s="50"/>
      <c r="BD47" s="50"/>
      <c r="BE47" s="54"/>
      <c r="BF47" s="57"/>
      <c r="BG47" s="50"/>
      <c r="BH47" s="54"/>
      <c r="BI47" s="54"/>
      <c r="BJ47" s="50"/>
      <c r="BK47" s="50"/>
    </row>
    <row r="48" customFormat="false" ht="15" hidden="false" customHeight="false" outlineLevel="0" collapsed="false">
      <c r="A48" s="49" t="str">
        <f aca="false">IF(B48="","","PC-"&amp;TEXT(ROW()-2,"000"))</f>
        <v/>
      </c>
      <c r="B48" s="50"/>
      <c r="C48" s="50"/>
      <c r="D48" s="51"/>
      <c r="E48" s="51"/>
      <c r="F48" s="51"/>
      <c r="G48" s="50"/>
      <c r="H48" s="50"/>
      <c r="I48" s="50"/>
      <c r="J48" s="51"/>
      <c r="K48" s="50"/>
      <c r="L48" s="50"/>
      <c r="M48" s="50"/>
      <c r="N48" s="50"/>
      <c r="O48" s="52"/>
      <c r="P48" s="50"/>
      <c r="Q48" s="52"/>
      <c r="R48" s="52"/>
      <c r="S48" s="49" t="str">
        <f aca="false">IF(B48="","",IF(OR(O48="",R48=""),"—",IF(O48&lt;=R48,"⚠ RÉAPPRO","OK")))</f>
        <v/>
      </c>
      <c r="T48" s="50"/>
      <c r="U48" s="50"/>
      <c r="V48" s="50"/>
      <c r="W48" s="50"/>
      <c r="X48" s="50"/>
      <c r="Y48" s="53" t="str">
        <f aca="false">IF(B48="","",IF(X48="","—",IF(X48="Non classé","Non classé",IFERROR(INDEX(RefH_Classe,MATCH(TRIM(LEFT(X48,FIND(",",X48&amp;",")-1)),RefH_Code,0)),"Code H inconnu"))))</f>
        <v/>
      </c>
      <c r="Z48" s="50"/>
      <c r="AA48" s="50"/>
      <c r="AB48" s="51"/>
      <c r="AC48" s="51"/>
      <c r="AD48" s="51"/>
      <c r="AE48" s="51"/>
      <c r="AF48" s="50"/>
      <c r="AG48" s="51"/>
      <c r="AH48" s="54"/>
      <c r="AI48" s="51"/>
      <c r="AJ48" s="55" t="str">
        <f aca="false">IF(AH48="","",EDATE(AH48,60))</f>
        <v/>
      </c>
      <c r="AK48" s="49" t="str">
        <f aca="true">IF(B48="","",IF(OR(AG48="Non",AH48=""),"FDS ABSENTE",IF(TODAY()&gt;=EDATE(AH48,60),"EXPIRÉE",IF(TODAY()&gt;=EDATE(AH48,54),"À RENOUVELER","CONFORME"))))</f>
        <v/>
      </c>
      <c r="AL48" s="50"/>
      <c r="AM48" s="54"/>
      <c r="AN48" s="54"/>
      <c r="AO48" s="50"/>
      <c r="AP48" s="50"/>
      <c r="AQ48" s="50"/>
      <c r="AR48" s="50"/>
      <c r="AS48" s="50"/>
      <c r="AT48" s="50"/>
      <c r="AU48" s="50"/>
      <c r="AV48" s="50"/>
      <c r="AW48" s="52"/>
      <c r="AX48" s="52"/>
      <c r="AY48" s="56" t="str">
        <f aca="false">IF(OR(AW48="",AX48=""),"",AW48*AX48)</f>
        <v/>
      </c>
      <c r="AZ48" s="52"/>
      <c r="BA48" s="56" t="str">
        <f aca="false">IF(AY48="","",IF(AZ48="",AY48,ROUNDUP(AY48/AZ48,0)))</f>
        <v/>
      </c>
      <c r="BB48" s="49" t="str">
        <f aca="false">IF(BA48="","",IF(BA48&gt;=15,"P1 – Critique",IF(BA48&gt;=8,"P2 – Élevée",IF(BA48&gt;=4,"P3 – Modérée","P4 – Faible"))))</f>
        <v/>
      </c>
      <c r="BC48" s="50"/>
      <c r="BD48" s="50"/>
      <c r="BE48" s="54"/>
      <c r="BF48" s="57"/>
      <c r="BG48" s="50"/>
      <c r="BH48" s="54"/>
      <c r="BI48" s="54"/>
      <c r="BJ48" s="50"/>
      <c r="BK48" s="50"/>
    </row>
    <row r="49" customFormat="false" ht="15" hidden="false" customHeight="false" outlineLevel="0" collapsed="false">
      <c r="A49" s="49" t="str">
        <f aca="false">IF(B49="","","PC-"&amp;TEXT(ROW()-2,"000"))</f>
        <v/>
      </c>
      <c r="B49" s="50"/>
      <c r="C49" s="50"/>
      <c r="D49" s="51"/>
      <c r="E49" s="51"/>
      <c r="F49" s="51"/>
      <c r="G49" s="50"/>
      <c r="H49" s="50"/>
      <c r="I49" s="50"/>
      <c r="J49" s="51"/>
      <c r="K49" s="50"/>
      <c r="L49" s="50"/>
      <c r="M49" s="50"/>
      <c r="N49" s="50"/>
      <c r="O49" s="52"/>
      <c r="P49" s="50"/>
      <c r="Q49" s="52"/>
      <c r="R49" s="52"/>
      <c r="S49" s="49" t="str">
        <f aca="false">IF(B49="","",IF(OR(O49="",R49=""),"—",IF(O49&lt;=R49,"⚠ RÉAPPRO","OK")))</f>
        <v/>
      </c>
      <c r="T49" s="50"/>
      <c r="U49" s="50"/>
      <c r="V49" s="50"/>
      <c r="W49" s="50"/>
      <c r="X49" s="50"/>
      <c r="Y49" s="53" t="str">
        <f aca="false">IF(B49="","",IF(X49="","—",IF(X49="Non classé","Non classé",IFERROR(INDEX(RefH_Classe,MATCH(TRIM(LEFT(X49,FIND(",",X49&amp;",")-1)),RefH_Code,0)),"Code H inconnu"))))</f>
        <v/>
      </c>
      <c r="Z49" s="50"/>
      <c r="AA49" s="50"/>
      <c r="AB49" s="51"/>
      <c r="AC49" s="51"/>
      <c r="AD49" s="51"/>
      <c r="AE49" s="51"/>
      <c r="AF49" s="50"/>
      <c r="AG49" s="51"/>
      <c r="AH49" s="54"/>
      <c r="AI49" s="51"/>
      <c r="AJ49" s="55" t="str">
        <f aca="false">IF(AH49="","",EDATE(AH49,60))</f>
        <v/>
      </c>
      <c r="AK49" s="49" t="str">
        <f aca="true">IF(B49="","",IF(OR(AG49="Non",AH49=""),"FDS ABSENTE",IF(TODAY()&gt;=EDATE(AH49,60),"EXPIRÉE",IF(TODAY()&gt;=EDATE(AH49,54),"À RENOUVELER","CONFORME"))))</f>
        <v/>
      </c>
      <c r="AL49" s="50"/>
      <c r="AM49" s="54"/>
      <c r="AN49" s="54"/>
      <c r="AO49" s="50"/>
      <c r="AP49" s="50"/>
      <c r="AQ49" s="50"/>
      <c r="AR49" s="50"/>
      <c r="AS49" s="50"/>
      <c r="AT49" s="50"/>
      <c r="AU49" s="50"/>
      <c r="AV49" s="50"/>
      <c r="AW49" s="52"/>
      <c r="AX49" s="52"/>
      <c r="AY49" s="56" t="str">
        <f aca="false">IF(OR(AW49="",AX49=""),"",AW49*AX49)</f>
        <v/>
      </c>
      <c r="AZ49" s="52"/>
      <c r="BA49" s="56" t="str">
        <f aca="false">IF(AY49="","",IF(AZ49="",AY49,ROUNDUP(AY49/AZ49,0)))</f>
        <v/>
      </c>
      <c r="BB49" s="49" t="str">
        <f aca="false">IF(BA49="","",IF(BA49&gt;=15,"P1 – Critique",IF(BA49&gt;=8,"P2 – Élevée",IF(BA49&gt;=4,"P3 – Modérée","P4 – Faible"))))</f>
        <v/>
      </c>
      <c r="BC49" s="50"/>
      <c r="BD49" s="50"/>
      <c r="BE49" s="54"/>
      <c r="BF49" s="57"/>
      <c r="BG49" s="50"/>
      <c r="BH49" s="54"/>
      <c r="BI49" s="54"/>
      <c r="BJ49" s="50"/>
      <c r="BK49" s="50"/>
    </row>
    <row r="50" customFormat="false" ht="15" hidden="false" customHeight="false" outlineLevel="0" collapsed="false">
      <c r="A50" s="49" t="str">
        <f aca="false">IF(B50="","","PC-"&amp;TEXT(ROW()-2,"000"))</f>
        <v/>
      </c>
      <c r="B50" s="50"/>
      <c r="C50" s="50"/>
      <c r="D50" s="51"/>
      <c r="E50" s="51"/>
      <c r="F50" s="51"/>
      <c r="G50" s="50"/>
      <c r="H50" s="50"/>
      <c r="I50" s="50"/>
      <c r="J50" s="51"/>
      <c r="K50" s="50"/>
      <c r="L50" s="50"/>
      <c r="M50" s="50"/>
      <c r="N50" s="50"/>
      <c r="O50" s="52"/>
      <c r="P50" s="50"/>
      <c r="Q50" s="52"/>
      <c r="R50" s="52"/>
      <c r="S50" s="49" t="str">
        <f aca="false">IF(B50="","",IF(OR(O50="",R50=""),"—",IF(O50&lt;=R50,"⚠ RÉAPPRO","OK")))</f>
        <v/>
      </c>
      <c r="T50" s="50"/>
      <c r="U50" s="50"/>
      <c r="V50" s="50"/>
      <c r="W50" s="50"/>
      <c r="X50" s="50"/>
      <c r="Y50" s="53" t="str">
        <f aca="false">IF(B50="","",IF(X50="","—",IF(X50="Non classé","Non classé",IFERROR(INDEX(RefH_Classe,MATCH(TRIM(LEFT(X50,FIND(",",X50&amp;",")-1)),RefH_Code,0)),"Code H inconnu"))))</f>
        <v/>
      </c>
      <c r="Z50" s="50"/>
      <c r="AA50" s="50"/>
      <c r="AB50" s="51"/>
      <c r="AC50" s="51"/>
      <c r="AD50" s="51"/>
      <c r="AE50" s="51"/>
      <c r="AF50" s="50"/>
      <c r="AG50" s="51"/>
      <c r="AH50" s="54"/>
      <c r="AI50" s="51"/>
      <c r="AJ50" s="55" t="str">
        <f aca="false">IF(AH50="","",EDATE(AH50,60))</f>
        <v/>
      </c>
      <c r="AK50" s="49" t="str">
        <f aca="true">IF(B50="","",IF(OR(AG50="Non",AH50=""),"FDS ABSENTE",IF(TODAY()&gt;=EDATE(AH50,60),"EXPIRÉE",IF(TODAY()&gt;=EDATE(AH50,54),"À RENOUVELER","CONFORME"))))</f>
        <v/>
      </c>
      <c r="AL50" s="50"/>
      <c r="AM50" s="54"/>
      <c r="AN50" s="54"/>
      <c r="AO50" s="50"/>
      <c r="AP50" s="50"/>
      <c r="AQ50" s="50"/>
      <c r="AR50" s="50"/>
      <c r="AS50" s="50"/>
      <c r="AT50" s="50"/>
      <c r="AU50" s="50"/>
      <c r="AV50" s="50"/>
      <c r="AW50" s="52"/>
      <c r="AX50" s="52"/>
      <c r="AY50" s="56" t="str">
        <f aca="false">IF(OR(AW50="",AX50=""),"",AW50*AX50)</f>
        <v/>
      </c>
      <c r="AZ50" s="52"/>
      <c r="BA50" s="56" t="str">
        <f aca="false">IF(AY50="","",IF(AZ50="",AY50,ROUNDUP(AY50/AZ50,0)))</f>
        <v/>
      </c>
      <c r="BB50" s="49" t="str">
        <f aca="false">IF(BA50="","",IF(BA50&gt;=15,"P1 – Critique",IF(BA50&gt;=8,"P2 – Élevée",IF(BA50&gt;=4,"P3 – Modérée","P4 – Faible"))))</f>
        <v/>
      </c>
      <c r="BC50" s="50"/>
      <c r="BD50" s="50"/>
      <c r="BE50" s="54"/>
      <c r="BF50" s="57"/>
      <c r="BG50" s="50"/>
      <c r="BH50" s="54"/>
      <c r="BI50" s="54"/>
      <c r="BJ50" s="50"/>
      <c r="BK50" s="50"/>
    </row>
    <row r="51" customFormat="false" ht="15" hidden="false" customHeight="false" outlineLevel="0" collapsed="false">
      <c r="A51" s="49" t="str">
        <f aca="false">IF(B51="","","PC-"&amp;TEXT(ROW()-2,"000"))</f>
        <v/>
      </c>
      <c r="B51" s="50"/>
      <c r="C51" s="50"/>
      <c r="D51" s="51"/>
      <c r="E51" s="51"/>
      <c r="F51" s="51"/>
      <c r="G51" s="50"/>
      <c r="H51" s="50"/>
      <c r="I51" s="50"/>
      <c r="J51" s="51"/>
      <c r="K51" s="50"/>
      <c r="L51" s="50"/>
      <c r="M51" s="50"/>
      <c r="N51" s="50"/>
      <c r="O51" s="52"/>
      <c r="P51" s="50"/>
      <c r="Q51" s="52"/>
      <c r="R51" s="52"/>
      <c r="S51" s="49" t="str">
        <f aca="false">IF(B51="","",IF(OR(O51="",R51=""),"—",IF(O51&lt;=R51,"⚠ RÉAPPRO","OK")))</f>
        <v/>
      </c>
      <c r="T51" s="50"/>
      <c r="U51" s="50"/>
      <c r="V51" s="50"/>
      <c r="W51" s="50"/>
      <c r="X51" s="50"/>
      <c r="Y51" s="53" t="str">
        <f aca="false">IF(B51="","",IF(X51="","—",IF(X51="Non classé","Non classé",IFERROR(INDEX(RefH_Classe,MATCH(TRIM(LEFT(X51,FIND(",",X51&amp;",")-1)),RefH_Code,0)),"Code H inconnu"))))</f>
        <v/>
      </c>
      <c r="Z51" s="50"/>
      <c r="AA51" s="50"/>
      <c r="AB51" s="51"/>
      <c r="AC51" s="51"/>
      <c r="AD51" s="51"/>
      <c r="AE51" s="51"/>
      <c r="AF51" s="50"/>
      <c r="AG51" s="51"/>
      <c r="AH51" s="54"/>
      <c r="AI51" s="51"/>
      <c r="AJ51" s="55" t="str">
        <f aca="false">IF(AH51="","",EDATE(AH51,60))</f>
        <v/>
      </c>
      <c r="AK51" s="49" t="str">
        <f aca="true">IF(B51="","",IF(OR(AG51="Non",AH51=""),"FDS ABSENTE",IF(TODAY()&gt;=EDATE(AH51,60),"EXPIRÉE",IF(TODAY()&gt;=EDATE(AH51,54),"À RENOUVELER","CONFORME"))))</f>
        <v/>
      </c>
      <c r="AL51" s="50"/>
      <c r="AM51" s="54"/>
      <c r="AN51" s="54"/>
      <c r="AO51" s="50"/>
      <c r="AP51" s="50"/>
      <c r="AQ51" s="50"/>
      <c r="AR51" s="50"/>
      <c r="AS51" s="50"/>
      <c r="AT51" s="50"/>
      <c r="AU51" s="50"/>
      <c r="AV51" s="50"/>
      <c r="AW51" s="52"/>
      <c r="AX51" s="52"/>
      <c r="AY51" s="56" t="str">
        <f aca="false">IF(OR(AW51="",AX51=""),"",AW51*AX51)</f>
        <v/>
      </c>
      <c r="AZ51" s="52"/>
      <c r="BA51" s="56" t="str">
        <f aca="false">IF(AY51="","",IF(AZ51="",AY51,ROUNDUP(AY51/AZ51,0)))</f>
        <v/>
      </c>
      <c r="BB51" s="49" t="str">
        <f aca="false">IF(BA51="","",IF(BA51&gt;=15,"P1 – Critique",IF(BA51&gt;=8,"P2 – Élevée",IF(BA51&gt;=4,"P3 – Modérée","P4 – Faible"))))</f>
        <v/>
      </c>
      <c r="BC51" s="50"/>
      <c r="BD51" s="50"/>
      <c r="BE51" s="54"/>
      <c r="BF51" s="57"/>
      <c r="BG51" s="50"/>
      <c r="BH51" s="54"/>
      <c r="BI51" s="54"/>
      <c r="BJ51" s="50"/>
      <c r="BK51" s="50"/>
    </row>
    <row r="52" customFormat="false" ht="15" hidden="false" customHeight="false" outlineLevel="0" collapsed="false">
      <c r="A52" s="49" t="str">
        <f aca="false">IF(B52="","","PC-"&amp;TEXT(ROW()-2,"000"))</f>
        <v/>
      </c>
      <c r="B52" s="50"/>
      <c r="C52" s="50"/>
      <c r="D52" s="51"/>
      <c r="E52" s="51"/>
      <c r="F52" s="51"/>
      <c r="G52" s="50"/>
      <c r="H52" s="50"/>
      <c r="I52" s="50"/>
      <c r="J52" s="51"/>
      <c r="K52" s="50"/>
      <c r="L52" s="50"/>
      <c r="M52" s="50"/>
      <c r="N52" s="50"/>
      <c r="O52" s="52"/>
      <c r="P52" s="50"/>
      <c r="Q52" s="52"/>
      <c r="R52" s="52"/>
      <c r="S52" s="49" t="str">
        <f aca="false">IF(B52="","",IF(OR(O52="",R52=""),"—",IF(O52&lt;=R52,"⚠ RÉAPPRO","OK")))</f>
        <v/>
      </c>
      <c r="T52" s="50"/>
      <c r="U52" s="50"/>
      <c r="V52" s="50"/>
      <c r="W52" s="50"/>
      <c r="X52" s="50"/>
      <c r="Y52" s="53" t="str">
        <f aca="false">IF(B52="","",IF(X52="","—",IF(X52="Non classé","Non classé",IFERROR(INDEX(RefH_Classe,MATCH(TRIM(LEFT(X52,FIND(",",X52&amp;",")-1)),RefH_Code,0)),"Code H inconnu"))))</f>
        <v/>
      </c>
      <c r="Z52" s="50"/>
      <c r="AA52" s="50"/>
      <c r="AB52" s="51"/>
      <c r="AC52" s="51"/>
      <c r="AD52" s="51"/>
      <c r="AE52" s="51"/>
      <c r="AF52" s="50"/>
      <c r="AG52" s="51"/>
      <c r="AH52" s="54"/>
      <c r="AI52" s="51"/>
      <c r="AJ52" s="55" t="str">
        <f aca="false">IF(AH52="","",EDATE(AH52,60))</f>
        <v/>
      </c>
      <c r="AK52" s="49" t="str">
        <f aca="true">IF(B52="","",IF(OR(AG52="Non",AH52=""),"FDS ABSENTE",IF(TODAY()&gt;=EDATE(AH52,60),"EXPIRÉE",IF(TODAY()&gt;=EDATE(AH52,54),"À RENOUVELER","CONFORME"))))</f>
        <v/>
      </c>
      <c r="AL52" s="50"/>
      <c r="AM52" s="54"/>
      <c r="AN52" s="54"/>
      <c r="AO52" s="50"/>
      <c r="AP52" s="50"/>
      <c r="AQ52" s="50"/>
      <c r="AR52" s="50"/>
      <c r="AS52" s="50"/>
      <c r="AT52" s="50"/>
      <c r="AU52" s="50"/>
      <c r="AV52" s="50"/>
      <c r="AW52" s="52"/>
      <c r="AX52" s="52"/>
      <c r="AY52" s="56" t="str">
        <f aca="false">IF(OR(AW52="",AX52=""),"",AW52*AX52)</f>
        <v/>
      </c>
      <c r="AZ52" s="52"/>
      <c r="BA52" s="56" t="str">
        <f aca="false">IF(AY52="","",IF(AZ52="",AY52,ROUNDUP(AY52/AZ52,0)))</f>
        <v/>
      </c>
      <c r="BB52" s="49" t="str">
        <f aca="false">IF(BA52="","",IF(BA52&gt;=15,"P1 – Critique",IF(BA52&gt;=8,"P2 – Élevée",IF(BA52&gt;=4,"P3 – Modérée","P4 – Faible"))))</f>
        <v/>
      </c>
      <c r="BC52" s="50"/>
      <c r="BD52" s="50"/>
      <c r="BE52" s="54"/>
      <c r="BF52" s="57"/>
      <c r="BG52" s="50"/>
      <c r="BH52" s="54"/>
      <c r="BI52" s="54"/>
      <c r="BJ52" s="50"/>
      <c r="BK52" s="50"/>
    </row>
    <row r="53" customFormat="false" ht="15" hidden="false" customHeight="false" outlineLevel="0" collapsed="false">
      <c r="A53" s="49" t="str">
        <f aca="false">IF(B53="","","PC-"&amp;TEXT(ROW()-2,"000"))</f>
        <v/>
      </c>
      <c r="B53" s="50"/>
      <c r="C53" s="50"/>
      <c r="D53" s="51"/>
      <c r="E53" s="51"/>
      <c r="F53" s="51"/>
      <c r="G53" s="50"/>
      <c r="H53" s="50"/>
      <c r="I53" s="50"/>
      <c r="J53" s="51"/>
      <c r="K53" s="50"/>
      <c r="L53" s="50"/>
      <c r="M53" s="50"/>
      <c r="N53" s="50"/>
      <c r="O53" s="52"/>
      <c r="P53" s="50"/>
      <c r="Q53" s="52"/>
      <c r="R53" s="52"/>
      <c r="S53" s="49" t="str">
        <f aca="false">IF(B53="","",IF(OR(O53="",R53=""),"—",IF(O53&lt;=R53,"⚠ RÉAPPRO","OK")))</f>
        <v/>
      </c>
      <c r="T53" s="50"/>
      <c r="U53" s="50"/>
      <c r="V53" s="50"/>
      <c r="W53" s="50"/>
      <c r="X53" s="50"/>
      <c r="Y53" s="53" t="str">
        <f aca="false">IF(B53="","",IF(X53="","—",IF(X53="Non classé","Non classé",IFERROR(INDEX(RefH_Classe,MATCH(TRIM(LEFT(X53,FIND(",",X53&amp;",")-1)),RefH_Code,0)),"Code H inconnu"))))</f>
        <v/>
      </c>
      <c r="Z53" s="50"/>
      <c r="AA53" s="50"/>
      <c r="AB53" s="51"/>
      <c r="AC53" s="51"/>
      <c r="AD53" s="51"/>
      <c r="AE53" s="51"/>
      <c r="AF53" s="50"/>
      <c r="AG53" s="51"/>
      <c r="AH53" s="54"/>
      <c r="AI53" s="51"/>
      <c r="AJ53" s="55" t="str">
        <f aca="false">IF(AH53="","",EDATE(AH53,60))</f>
        <v/>
      </c>
      <c r="AK53" s="49" t="str">
        <f aca="true">IF(B53="","",IF(OR(AG53="Non",AH53=""),"FDS ABSENTE",IF(TODAY()&gt;=EDATE(AH53,60),"EXPIRÉE",IF(TODAY()&gt;=EDATE(AH53,54),"À RENOUVELER","CONFORME"))))</f>
        <v/>
      </c>
      <c r="AL53" s="50"/>
      <c r="AM53" s="54"/>
      <c r="AN53" s="54"/>
      <c r="AO53" s="50"/>
      <c r="AP53" s="50"/>
      <c r="AQ53" s="50"/>
      <c r="AR53" s="50"/>
      <c r="AS53" s="50"/>
      <c r="AT53" s="50"/>
      <c r="AU53" s="50"/>
      <c r="AV53" s="50"/>
      <c r="AW53" s="52"/>
      <c r="AX53" s="52"/>
      <c r="AY53" s="56" t="str">
        <f aca="false">IF(OR(AW53="",AX53=""),"",AW53*AX53)</f>
        <v/>
      </c>
      <c r="AZ53" s="52"/>
      <c r="BA53" s="56" t="str">
        <f aca="false">IF(AY53="","",IF(AZ53="",AY53,ROUNDUP(AY53/AZ53,0)))</f>
        <v/>
      </c>
      <c r="BB53" s="49" t="str">
        <f aca="false">IF(BA53="","",IF(BA53&gt;=15,"P1 – Critique",IF(BA53&gt;=8,"P2 – Élevée",IF(BA53&gt;=4,"P3 – Modérée","P4 – Faible"))))</f>
        <v/>
      </c>
      <c r="BC53" s="50"/>
      <c r="BD53" s="50"/>
      <c r="BE53" s="54"/>
      <c r="BF53" s="57"/>
      <c r="BG53" s="50"/>
      <c r="BH53" s="54"/>
      <c r="BI53" s="54"/>
      <c r="BJ53" s="50"/>
      <c r="BK53" s="50"/>
    </row>
    <row r="54" customFormat="false" ht="15" hidden="false" customHeight="false" outlineLevel="0" collapsed="false">
      <c r="A54" s="49" t="str">
        <f aca="false">IF(B54="","","PC-"&amp;TEXT(ROW()-2,"000"))</f>
        <v/>
      </c>
      <c r="B54" s="50"/>
      <c r="C54" s="50"/>
      <c r="D54" s="51"/>
      <c r="E54" s="51"/>
      <c r="F54" s="51"/>
      <c r="G54" s="50"/>
      <c r="H54" s="50"/>
      <c r="I54" s="50"/>
      <c r="J54" s="51"/>
      <c r="K54" s="50"/>
      <c r="L54" s="50"/>
      <c r="M54" s="50"/>
      <c r="N54" s="50"/>
      <c r="O54" s="52"/>
      <c r="P54" s="50"/>
      <c r="Q54" s="52"/>
      <c r="R54" s="52"/>
      <c r="S54" s="49" t="str">
        <f aca="false">IF(B54="","",IF(OR(O54="",R54=""),"—",IF(O54&lt;=R54,"⚠ RÉAPPRO","OK")))</f>
        <v/>
      </c>
      <c r="T54" s="50"/>
      <c r="U54" s="50"/>
      <c r="V54" s="50"/>
      <c r="W54" s="50"/>
      <c r="X54" s="50"/>
      <c r="Y54" s="53" t="str">
        <f aca="false">IF(B54="","",IF(X54="","—",IF(X54="Non classé","Non classé",IFERROR(INDEX(RefH_Classe,MATCH(TRIM(LEFT(X54,FIND(",",X54&amp;",")-1)),RefH_Code,0)),"Code H inconnu"))))</f>
        <v/>
      </c>
      <c r="Z54" s="50"/>
      <c r="AA54" s="50"/>
      <c r="AB54" s="51"/>
      <c r="AC54" s="51"/>
      <c r="AD54" s="51"/>
      <c r="AE54" s="51"/>
      <c r="AF54" s="50"/>
      <c r="AG54" s="51"/>
      <c r="AH54" s="54"/>
      <c r="AI54" s="51"/>
      <c r="AJ54" s="55" t="str">
        <f aca="false">IF(AH54="","",EDATE(AH54,60))</f>
        <v/>
      </c>
      <c r="AK54" s="49" t="str">
        <f aca="true">IF(B54="","",IF(OR(AG54="Non",AH54=""),"FDS ABSENTE",IF(TODAY()&gt;=EDATE(AH54,60),"EXPIRÉE",IF(TODAY()&gt;=EDATE(AH54,54),"À RENOUVELER","CONFORME"))))</f>
        <v/>
      </c>
      <c r="AL54" s="50"/>
      <c r="AM54" s="54"/>
      <c r="AN54" s="54"/>
      <c r="AO54" s="50"/>
      <c r="AP54" s="50"/>
      <c r="AQ54" s="50"/>
      <c r="AR54" s="50"/>
      <c r="AS54" s="50"/>
      <c r="AT54" s="50"/>
      <c r="AU54" s="50"/>
      <c r="AV54" s="50"/>
      <c r="AW54" s="52"/>
      <c r="AX54" s="52"/>
      <c r="AY54" s="56" t="str">
        <f aca="false">IF(OR(AW54="",AX54=""),"",AW54*AX54)</f>
        <v/>
      </c>
      <c r="AZ54" s="52"/>
      <c r="BA54" s="56" t="str">
        <f aca="false">IF(AY54="","",IF(AZ54="",AY54,ROUNDUP(AY54/AZ54,0)))</f>
        <v/>
      </c>
      <c r="BB54" s="49" t="str">
        <f aca="false">IF(BA54="","",IF(BA54&gt;=15,"P1 – Critique",IF(BA54&gt;=8,"P2 – Élevée",IF(BA54&gt;=4,"P3 – Modérée","P4 – Faible"))))</f>
        <v/>
      </c>
      <c r="BC54" s="50"/>
      <c r="BD54" s="50"/>
      <c r="BE54" s="54"/>
      <c r="BF54" s="57"/>
      <c r="BG54" s="50"/>
      <c r="BH54" s="54"/>
      <c r="BI54" s="54"/>
      <c r="BJ54" s="50"/>
      <c r="BK54" s="50"/>
    </row>
    <row r="55" customFormat="false" ht="15" hidden="false" customHeight="false" outlineLevel="0" collapsed="false">
      <c r="A55" s="49" t="str">
        <f aca="false">IF(B55="","","PC-"&amp;TEXT(ROW()-2,"000"))</f>
        <v/>
      </c>
      <c r="B55" s="50"/>
      <c r="C55" s="50"/>
      <c r="D55" s="51"/>
      <c r="E55" s="51"/>
      <c r="F55" s="51"/>
      <c r="G55" s="50"/>
      <c r="H55" s="50"/>
      <c r="I55" s="50"/>
      <c r="J55" s="51"/>
      <c r="K55" s="50"/>
      <c r="L55" s="50"/>
      <c r="M55" s="50"/>
      <c r="N55" s="50"/>
      <c r="O55" s="52"/>
      <c r="P55" s="50"/>
      <c r="Q55" s="52"/>
      <c r="R55" s="52"/>
      <c r="S55" s="49" t="str">
        <f aca="false">IF(B55="","",IF(OR(O55="",R55=""),"—",IF(O55&lt;=R55,"⚠ RÉAPPRO","OK")))</f>
        <v/>
      </c>
      <c r="T55" s="50"/>
      <c r="U55" s="50"/>
      <c r="V55" s="50"/>
      <c r="W55" s="50"/>
      <c r="X55" s="50"/>
      <c r="Y55" s="53" t="str">
        <f aca="false">IF(B55="","",IF(X55="","—",IF(X55="Non classé","Non classé",IFERROR(INDEX(RefH_Classe,MATCH(TRIM(LEFT(X55,FIND(",",X55&amp;",")-1)),RefH_Code,0)),"Code H inconnu"))))</f>
        <v/>
      </c>
      <c r="Z55" s="50"/>
      <c r="AA55" s="50"/>
      <c r="AB55" s="51"/>
      <c r="AC55" s="51"/>
      <c r="AD55" s="51"/>
      <c r="AE55" s="51"/>
      <c r="AF55" s="50"/>
      <c r="AG55" s="51"/>
      <c r="AH55" s="54"/>
      <c r="AI55" s="51"/>
      <c r="AJ55" s="55" t="str">
        <f aca="false">IF(AH55="","",EDATE(AH55,60))</f>
        <v/>
      </c>
      <c r="AK55" s="49" t="str">
        <f aca="true">IF(B55="","",IF(OR(AG55="Non",AH55=""),"FDS ABSENTE",IF(TODAY()&gt;=EDATE(AH55,60),"EXPIRÉE",IF(TODAY()&gt;=EDATE(AH55,54),"À RENOUVELER","CONFORME"))))</f>
        <v/>
      </c>
      <c r="AL55" s="50"/>
      <c r="AM55" s="54"/>
      <c r="AN55" s="54"/>
      <c r="AO55" s="50"/>
      <c r="AP55" s="50"/>
      <c r="AQ55" s="50"/>
      <c r="AR55" s="50"/>
      <c r="AS55" s="50"/>
      <c r="AT55" s="50"/>
      <c r="AU55" s="50"/>
      <c r="AV55" s="50"/>
      <c r="AW55" s="52"/>
      <c r="AX55" s="52"/>
      <c r="AY55" s="56" t="str">
        <f aca="false">IF(OR(AW55="",AX55=""),"",AW55*AX55)</f>
        <v/>
      </c>
      <c r="AZ55" s="52"/>
      <c r="BA55" s="56" t="str">
        <f aca="false">IF(AY55="","",IF(AZ55="",AY55,ROUNDUP(AY55/AZ55,0)))</f>
        <v/>
      </c>
      <c r="BB55" s="49" t="str">
        <f aca="false">IF(BA55="","",IF(BA55&gt;=15,"P1 – Critique",IF(BA55&gt;=8,"P2 – Élevée",IF(BA55&gt;=4,"P3 – Modérée","P4 – Faible"))))</f>
        <v/>
      </c>
      <c r="BC55" s="50"/>
      <c r="BD55" s="50"/>
      <c r="BE55" s="54"/>
      <c r="BF55" s="57"/>
      <c r="BG55" s="50"/>
      <c r="BH55" s="54"/>
      <c r="BI55" s="54"/>
      <c r="BJ55" s="50"/>
      <c r="BK55" s="50"/>
    </row>
    <row r="56" customFormat="false" ht="15" hidden="false" customHeight="false" outlineLevel="0" collapsed="false">
      <c r="A56" s="49" t="str">
        <f aca="false">IF(B56="","","PC-"&amp;TEXT(ROW()-2,"000"))</f>
        <v/>
      </c>
      <c r="B56" s="50"/>
      <c r="C56" s="50"/>
      <c r="D56" s="51"/>
      <c r="E56" s="51"/>
      <c r="F56" s="51"/>
      <c r="G56" s="50"/>
      <c r="H56" s="50"/>
      <c r="I56" s="50"/>
      <c r="J56" s="51"/>
      <c r="K56" s="50"/>
      <c r="L56" s="50"/>
      <c r="M56" s="50"/>
      <c r="N56" s="50"/>
      <c r="O56" s="52"/>
      <c r="P56" s="50"/>
      <c r="Q56" s="52"/>
      <c r="R56" s="52"/>
      <c r="S56" s="49" t="str">
        <f aca="false">IF(B56="","",IF(OR(O56="",R56=""),"—",IF(O56&lt;=R56,"⚠ RÉAPPRO","OK")))</f>
        <v/>
      </c>
      <c r="T56" s="50"/>
      <c r="U56" s="50"/>
      <c r="V56" s="50"/>
      <c r="W56" s="50"/>
      <c r="X56" s="50"/>
      <c r="Y56" s="53" t="str">
        <f aca="false">IF(B56="","",IF(X56="","—",IF(X56="Non classé","Non classé",IFERROR(INDEX(RefH_Classe,MATCH(TRIM(LEFT(X56,FIND(",",X56&amp;",")-1)),RefH_Code,0)),"Code H inconnu"))))</f>
        <v/>
      </c>
      <c r="Z56" s="50"/>
      <c r="AA56" s="50"/>
      <c r="AB56" s="51"/>
      <c r="AC56" s="51"/>
      <c r="AD56" s="51"/>
      <c r="AE56" s="51"/>
      <c r="AF56" s="50"/>
      <c r="AG56" s="51"/>
      <c r="AH56" s="54"/>
      <c r="AI56" s="51"/>
      <c r="AJ56" s="55" t="str">
        <f aca="false">IF(AH56="","",EDATE(AH56,60))</f>
        <v/>
      </c>
      <c r="AK56" s="49" t="str">
        <f aca="true">IF(B56="","",IF(OR(AG56="Non",AH56=""),"FDS ABSENTE",IF(TODAY()&gt;=EDATE(AH56,60),"EXPIRÉE",IF(TODAY()&gt;=EDATE(AH56,54),"À RENOUVELER","CONFORME"))))</f>
        <v/>
      </c>
      <c r="AL56" s="50"/>
      <c r="AM56" s="54"/>
      <c r="AN56" s="54"/>
      <c r="AO56" s="50"/>
      <c r="AP56" s="50"/>
      <c r="AQ56" s="50"/>
      <c r="AR56" s="50"/>
      <c r="AS56" s="50"/>
      <c r="AT56" s="50"/>
      <c r="AU56" s="50"/>
      <c r="AV56" s="50"/>
      <c r="AW56" s="52"/>
      <c r="AX56" s="52"/>
      <c r="AY56" s="56" t="str">
        <f aca="false">IF(OR(AW56="",AX56=""),"",AW56*AX56)</f>
        <v/>
      </c>
      <c r="AZ56" s="52"/>
      <c r="BA56" s="56" t="str">
        <f aca="false">IF(AY56="","",IF(AZ56="",AY56,ROUNDUP(AY56/AZ56,0)))</f>
        <v/>
      </c>
      <c r="BB56" s="49" t="str">
        <f aca="false">IF(BA56="","",IF(BA56&gt;=15,"P1 – Critique",IF(BA56&gt;=8,"P2 – Élevée",IF(BA56&gt;=4,"P3 – Modérée","P4 – Faible"))))</f>
        <v/>
      </c>
      <c r="BC56" s="50"/>
      <c r="BD56" s="50"/>
      <c r="BE56" s="54"/>
      <c r="BF56" s="57"/>
      <c r="BG56" s="50"/>
      <c r="BH56" s="54"/>
      <c r="BI56" s="54"/>
      <c r="BJ56" s="50"/>
      <c r="BK56" s="50"/>
    </row>
    <row r="57" customFormat="false" ht="15" hidden="false" customHeight="false" outlineLevel="0" collapsed="false">
      <c r="A57" s="49" t="str">
        <f aca="false">IF(B57="","","PC-"&amp;TEXT(ROW()-2,"000"))</f>
        <v/>
      </c>
      <c r="B57" s="50"/>
      <c r="C57" s="50"/>
      <c r="D57" s="51"/>
      <c r="E57" s="51"/>
      <c r="F57" s="51"/>
      <c r="G57" s="50"/>
      <c r="H57" s="50"/>
      <c r="I57" s="50"/>
      <c r="J57" s="51"/>
      <c r="K57" s="50"/>
      <c r="L57" s="50"/>
      <c r="M57" s="50"/>
      <c r="N57" s="50"/>
      <c r="O57" s="52"/>
      <c r="P57" s="50"/>
      <c r="Q57" s="52"/>
      <c r="R57" s="52"/>
      <c r="S57" s="49" t="str">
        <f aca="false">IF(B57="","",IF(OR(O57="",R57=""),"—",IF(O57&lt;=R57,"⚠ RÉAPPRO","OK")))</f>
        <v/>
      </c>
      <c r="T57" s="50"/>
      <c r="U57" s="50"/>
      <c r="V57" s="50"/>
      <c r="W57" s="50"/>
      <c r="X57" s="50"/>
      <c r="Y57" s="53" t="str">
        <f aca="false">IF(B57="","",IF(X57="","—",IF(X57="Non classé","Non classé",IFERROR(INDEX(RefH_Classe,MATCH(TRIM(LEFT(X57,FIND(",",X57&amp;",")-1)),RefH_Code,0)),"Code H inconnu"))))</f>
        <v/>
      </c>
      <c r="Z57" s="50"/>
      <c r="AA57" s="50"/>
      <c r="AB57" s="51"/>
      <c r="AC57" s="51"/>
      <c r="AD57" s="51"/>
      <c r="AE57" s="51"/>
      <c r="AF57" s="50"/>
      <c r="AG57" s="51"/>
      <c r="AH57" s="54"/>
      <c r="AI57" s="51"/>
      <c r="AJ57" s="55" t="str">
        <f aca="false">IF(AH57="","",EDATE(AH57,60))</f>
        <v/>
      </c>
      <c r="AK57" s="49" t="str">
        <f aca="true">IF(B57="","",IF(OR(AG57="Non",AH57=""),"FDS ABSENTE",IF(TODAY()&gt;=EDATE(AH57,60),"EXPIRÉE",IF(TODAY()&gt;=EDATE(AH57,54),"À RENOUVELER","CONFORME"))))</f>
        <v/>
      </c>
      <c r="AL57" s="50"/>
      <c r="AM57" s="54"/>
      <c r="AN57" s="54"/>
      <c r="AO57" s="50"/>
      <c r="AP57" s="50"/>
      <c r="AQ57" s="50"/>
      <c r="AR57" s="50"/>
      <c r="AS57" s="50"/>
      <c r="AT57" s="50"/>
      <c r="AU57" s="50"/>
      <c r="AV57" s="50"/>
      <c r="AW57" s="52"/>
      <c r="AX57" s="52"/>
      <c r="AY57" s="56" t="str">
        <f aca="false">IF(OR(AW57="",AX57=""),"",AW57*AX57)</f>
        <v/>
      </c>
      <c r="AZ57" s="52"/>
      <c r="BA57" s="56" t="str">
        <f aca="false">IF(AY57="","",IF(AZ57="",AY57,ROUNDUP(AY57/AZ57,0)))</f>
        <v/>
      </c>
      <c r="BB57" s="49" t="str">
        <f aca="false">IF(BA57="","",IF(BA57&gt;=15,"P1 – Critique",IF(BA57&gt;=8,"P2 – Élevée",IF(BA57&gt;=4,"P3 – Modérée","P4 – Faible"))))</f>
        <v/>
      </c>
      <c r="BC57" s="50"/>
      <c r="BD57" s="50"/>
      <c r="BE57" s="54"/>
      <c r="BF57" s="57"/>
      <c r="BG57" s="50"/>
      <c r="BH57" s="54"/>
      <c r="BI57" s="54"/>
      <c r="BJ57" s="50"/>
      <c r="BK57" s="50"/>
    </row>
    <row r="58" customFormat="false" ht="15" hidden="false" customHeight="false" outlineLevel="0" collapsed="false">
      <c r="A58" s="49" t="str">
        <f aca="false">IF(B58="","","PC-"&amp;TEXT(ROW()-2,"000"))</f>
        <v/>
      </c>
      <c r="B58" s="50"/>
      <c r="C58" s="50"/>
      <c r="D58" s="51"/>
      <c r="E58" s="51"/>
      <c r="F58" s="51"/>
      <c r="G58" s="50"/>
      <c r="H58" s="50"/>
      <c r="I58" s="50"/>
      <c r="J58" s="51"/>
      <c r="K58" s="50"/>
      <c r="L58" s="50"/>
      <c r="M58" s="50"/>
      <c r="N58" s="50"/>
      <c r="O58" s="52"/>
      <c r="P58" s="50"/>
      <c r="Q58" s="52"/>
      <c r="R58" s="52"/>
      <c r="S58" s="49" t="str">
        <f aca="false">IF(B58="","",IF(OR(O58="",R58=""),"—",IF(O58&lt;=R58,"⚠ RÉAPPRO","OK")))</f>
        <v/>
      </c>
      <c r="T58" s="50"/>
      <c r="U58" s="50"/>
      <c r="V58" s="50"/>
      <c r="W58" s="50"/>
      <c r="X58" s="50"/>
      <c r="Y58" s="53" t="str">
        <f aca="false">IF(B58="","",IF(X58="","—",IF(X58="Non classé","Non classé",IFERROR(INDEX(RefH_Classe,MATCH(TRIM(LEFT(X58,FIND(",",X58&amp;",")-1)),RefH_Code,0)),"Code H inconnu"))))</f>
        <v/>
      </c>
      <c r="Z58" s="50"/>
      <c r="AA58" s="50"/>
      <c r="AB58" s="51"/>
      <c r="AC58" s="51"/>
      <c r="AD58" s="51"/>
      <c r="AE58" s="51"/>
      <c r="AF58" s="50"/>
      <c r="AG58" s="51"/>
      <c r="AH58" s="54"/>
      <c r="AI58" s="51"/>
      <c r="AJ58" s="55" t="str">
        <f aca="false">IF(AH58="","",EDATE(AH58,60))</f>
        <v/>
      </c>
      <c r="AK58" s="49" t="str">
        <f aca="true">IF(B58="","",IF(OR(AG58="Non",AH58=""),"FDS ABSENTE",IF(TODAY()&gt;=EDATE(AH58,60),"EXPIRÉE",IF(TODAY()&gt;=EDATE(AH58,54),"À RENOUVELER","CONFORME"))))</f>
        <v/>
      </c>
      <c r="AL58" s="50"/>
      <c r="AM58" s="54"/>
      <c r="AN58" s="54"/>
      <c r="AO58" s="50"/>
      <c r="AP58" s="50"/>
      <c r="AQ58" s="50"/>
      <c r="AR58" s="50"/>
      <c r="AS58" s="50"/>
      <c r="AT58" s="50"/>
      <c r="AU58" s="50"/>
      <c r="AV58" s="50"/>
      <c r="AW58" s="52"/>
      <c r="AX58" s="52"/>
      <c r="AY58" s="56" t="str">
        <f aca="false">IF(OR(AW58="",AX58=""),"",AW58*AX58)</f>
        <v/>
      </c>
      <c r="AZ58" s="52"/>
      <c r="BA58" s="56" t="str">
        <f aca="false">IF(AY58="","",IF(AZ58="",AY58,ROUNDUP(AY58/AZ58,0)))</f>
        <v/>
      </c>
      <c r="BB58" s="49" t="str">
        <f aca="false">IF(BA58="","",IF(BA58&gt;=15,"P1 – Critique",IF(BA58&gt;=8,"P2 – Élevée",IF(BA58&gt;=4,"P3 – Modérée","P4 – Faible"))))</f>
        <v/>
      </c>
      <c r="BC58" s="50"/>
      <c r="BD58" s="50"/>
      <c r="BE58" s="54"/>
      <c r="BF58" s="57"/>
      <c r="BG58" s="50"/>
      <c r="BH58" s="54"/>
      <c r="BI58" s="54"/>
      <c r="BJ58" s="50"/>
      <c r="BK58" s="50"/>
    </row>
    <row r="59" customFormat="false" ht="15" hidden="false" customHeight="false" outlineLevel="0" collapsed="false">
      <c r="A59" s="49" t="str">
        <f aca="false">IF(B59="","","PC-"&amp;TEXT(ROW()-2,"000"))</f>
        <v/>
      </c>
      <c r="B59" s="50"/>
      <c r="C59" s="50"/>
      <c r="D59" s="51"/>
      <c r="E59" s="51"/>
      <c r="F59" s="51"/>
      <c r="G59" s="50"/>
      <c r="H59" s="50"/>
      <c r="I59" s="50"/>
      <c r="J59" s="51"/>
      <c r="K59" s="50"/>
      <c r="L59" s="50"/>
      <c r="M59" s="50"/>
      <c r="N59" s="50"/>
      <c r="O59" s="52"/>
      <c r="P59" s="50"/>
      <c r="Q59" s="52"/>
      <c r="R59" s="52"/>
      <c r="S59" s="49" t="str">
        <f aca="false">IF(B59="","",IF(OR(O59="",R59=""),"—",IF(O59&lt;=R59,"⚠ RÉAPPRO","OK")))</f>
        <v/>
      </c>
      <c r="T59" s="50"/>
      <c r="U59" s="50"/>
      <c r="V59" s="50"/>
      <c r="W59" s="50"/>
      <c r="X59" s="50"/>
      <c r="Y59" s="53" t="str">
        <f aca="false">IF(B59="","",IF(X59="","—",IF(X59="Non classé","Non classé",IFERROR(INDEX(RefH_Classe,MATCH(TRIM(LEFT(X59,FIND(",",X59&amp;",")-1)),RefH_Code,0)),"Code H inconnu"))))</f>
        <v/>
      </c>
      <c r="Z59" s="50"/>
      <c r="AA59" s="50"/>
      <c r="AB59" s="51"/>
      <c r="AC59" s="51"/>
      <c r="AD59" s="51"/>
      <c r="AE59" s="51"/>
      <c r="AF59" s="50"/>
      <c r="AG59" s="51"/>
      <c r="AH59" s="54"/>
      <c r="AI59" s="51"/>
      <c r="AJ59" s="55" t="str">
        <f aca="false">IF(AH59="","",EDATE(AH59,60))</f>
        <v/>
      </c>
      <c r="AK59" s="49" t="str">
        <f aca="true">IF(B59="","",IF(OR(AG59="Non",AH59=""),"FDS ABSENTE",IF(TODAY()&gt;=EDATE(AH59,60),"EXPIRÉE",IF(TODAY()&gt;=EDATE(AH59,54),"À RENOUVELER","CONFORME"))))</f>
        <v/>
      </c>
      <c r="AL59" s="50"/>
      <c r="AM59" s="54"/>
      <c r="AN59" s="54"/>
      <c r="AO59" s="50"/>
      <c r="AP59" s="50"/>
      <c r="AQ59" s="50"/>
      <c r="AR59" s="50"/>
      <c r="AS59" s="50"/>
      <c r="AT59" s="50"/>
      <c r="AU59" s="50"/>
      <c r="AV59" s="50"/>
      <c r="AW59" s="52"/>
      <c r="AX59" s="52"/>
      <c r="AY59" s="56" t="str">
        <f aca="false">IF(OR(AW59="",AX59=""),"",AW59*AX59)</f>
        <v/>
      </c>
      <c r="AZ59" s="52"/>
      <c r="BA59" s="56" t="str">
        <f aca="false">IF(AY59="","",IF(AZ59="",AY59,ROUNDUP(AY59/AZ59,0)))</f>
        <v/>
      </c>
      <c r="BB59" s="49" t="str">
        <f aca="false">IF(BA59="","",IF(BA59&gt;=15,"P1 – Critique",IF(BA59&gt;=8,"P2 – Élevée",IF(BA59&gt;=4,"P3 – Modérée","P4 – Faible"))))</f>
        <v/>
      </c>
      <c r="BC59" s="50"/>
      <c r="BD59" s="50"/>
      <c r="BE59" s="54"/>
      <c r="BF59" s="57"/>
      <c r="BG59" s="50"/>
      <c r="BH59" s="54"/>
      <c r="BI59" s="54"/>
      <c r="BJ59" s="50"/>
      <c r="BK59" s="50"/>
    </row>
    <row r="60" customFormat="false" ht="15" hidden="false" customHeight="false" outlineLevel="0" collapsed="false">
      <c r="A60" s="49" t="str">
        <f aca="false">IF(B60="","","PC-"&amp;TEXT(ROW()-2,"000"))</f>
        <v/>
      </c>
      <c r="B60" s="50"/>
      <c r="C60" s="50"/>
      <c r="D60" s="51"/>
      <c r="E60" s="51"/>
      <c r="F60" s="51"/>
      <c r="G60" s="50"/>
      <c r="H60" s="50"/>
      <c r="I60" s="50"/>
      <c r="J60" s="51"/>
      <c r="K60" s="50"/>
      <c r="L60" s="50"/>
      <c r="M60" s="50"/>
      <c r="N60" s="50"/>
      <c r="O60" s="52"/>
      <c r="P60" s="50"/>
      <c r="Q60" s="52"/>
      <c r="R60" s="52"/>
      <c r="S60" s="49" t="str">
        <f aca="false">IF(B60="","",IF(OR(O60="",R60=""),"—",IF(O60&lt;=R60,"⚠ RÉAPPRO","OK")))</f>
        <v/>
      </c>
      <c r="T60" s="50"/>
      <c r="U60" s="50"/>
      <c r="V60" s="50"/>
      <c r="W60" s="50"/>
      <c r="X60" s="50"/>
      <c r="Y60" s="53" t="str">
        <f aca="false">IF(B60="","",IF(X60="","—",IF(X60="Non classé","Non classé",IFERROR(INDEX(RefH_Classe,MATCH(TRIM(LEFT(X60,FIND(",",X60&amp;",")-1)),RefH_Code,0)),"Code H inconnu"))))</f>
        <v/>
      </c>
      <c r="Z60" s="50"/>
      <c r="AA60" s="50"/>
      <c r="AB60" s="51"/>
      <c r="AC60" s="51"/>
      <c r="AD60" s="51"/>
      <c r="AE60" s="51"/>
      <c r="AF60" s="50"/>
      <c r="AG60" s="51"/>
      <c r="AH60" s="54"/>
      <c r="AI60" s="51"/>
      <c r="AJ60" s="55" t="str">
        <f aca="false">IF(AH60="","",EDATE(AH60,60))</f>
        <v/>
      </c>
      <c r="AK60" s="49" t="str">
        <f aca="true">IF(B60="","",IF(OR(AG60="Non",AH60=""),"FDS ABSENTE",IF(TODAY()&gt;=EDATE(AH60,60),"EXPIRÉE",IF(TODAY()&gt;=EDATE(AH60,54),"À RENOUVELER","CONFORME"))))</f>
        <v/>
      </c>
      <c r="AL60" s="50"/>
      <c r="AM60" s="54"/>
      <c r="AN60" s="54"/>
      <c r="AO60" s="50"/>
      <c r="AP60" s="50"/>
      <c r="AQ60" s="50"/>
      <c r="AR60" s="50"/>
      <c r="AS60" s="50"/>
      <c r="AT60" s="50"/>
      <c r="AU60" s="50"/>
      <c r="AV60" s="50"/>
      <c r="AW60" s="52"/>
      <c r="AX60" s="52"/>
      <c r="AY60" s="56" t="str">
        <f aca="false">IF(OR(AW60="",AX60=""),"",AW60*AX60)</f>
        <v/>
      </c>
      <c r="AZ60" s="52"/>
      <c r="BA60" s="56" t="str">
        <f aca="false">IF(AY60="","",IF(AZ60="",AY60,ROUNDUP(AY60/AZ60,0)))</f>
        <v/>
      </c>
      <c r="BB60" s="49" t="str">
        <f aca="false">IF(BA60="","",IF(BA60&gt;=15,"P1 – Critique",IF(BA60&gt;=8,"P2 – Élevée",IF(BA60&gt;=4,"P3 – Modérée","P4 – Faible"))))</f>
        <v/>
      </c>
      <c r="BC60" s="50"/>
      <c r="BD60" s="50"/>
      <c r="BE60" s="54"/>
      <c r="BF60" s="57"/>
      <c r="BG60" s="50"/>
      <c r="BH60" s="54"/>
      <c r="BI60" s="54"/>
      <c r="BJ60" s="50"/>
      <c r="BK60" s="50"/>
    </row>
    <row r="61" customFormat="false" ht="15" hidden="false" customHeight="false" outlineLevel="0" collapsed="false">
      <c r="A61" s="49" t="str">
        <f aca="false">IF(B61="","","PC-"&amp;TEXT(ROW()-2,"000"))</f>
        <v/>
      </c>
      <c r="B61" s="50"/>
      <c r="C61" s="50"/>
      <c r="D61" s="51"/>
      <c r="E61" s="51"/>
      <c r="F61" s="51"/>
      <c r="G61" s="50"/>
      <c r="H61" s="50"/>
      <c r="I61" s="50"/>
      <c r="J61" s="51"/>
      <c r="K61" s="50"/>
      <c r="L61" s="50"/>
      <c r="M61" s="50"/>
      <c r="N61" s="50"/>
      <c r="O61" s="52"/>
      <c r="P61" s="50"/>
      <c r="Q61" s="52"/>
      <c r="R61" s="52"/>
      <c r="S61" s="49" t="str">
        <f aca="false">IF(B61="","",IF(OR(O61="",R61=""),"—",IF(O61&lt;=R61,"⚠ RÉAPPRO","OK")))</f>
        <v/>
      </c>
      <c r="T61" s="50"/>
      <c r="U61" s="50"/>
      <c r="V61" s="50"/>
      <c r="W61" s="50"/>
      <c r="X61" s="50"/>
      <c r="Y61" s="53" t="str">
        <f aca="false">IF(B61="","",IF(X61="","—",IF(X61="Non classé","Non classé",IFERROR(INDEX(RefH_Classe,MATCH(TRIM(LEFT(X61,FIND(",",X61&amp;",")-1)),RefH_Code,0)),"Code H inconnu"))))</f>
        <v/>
      </c>
      <c r="Z61" s="50"/>
      <c r="AA61" s="50"/>
      <c r="AB61" s="51"/>
      <c r="AC61" s="51"/>
      <c r="AD61" s="51"/>
      <c r="AE61" s="51"/>
      <c r="AF61" s="50"/>
      <c r="AG61" s="51"/>
      <c r="AH61" s="54"/>
      <c r="AI61" s="51"/>
      <c r="AJ61" s="55" t="str">
        <f aca="false">IF(AH61="","",EDATE(AH61,60))</f>
        <v/>
      </c>
      <c r="AK61" s="49" t="str">
        <f aca="true">IF(B61="","",IF(OR(AG61="Non",AH61=""),"FDS ABSENTE",IF(TODAY()&gt;=EDATE(AH61,60),"EXPIRÉE",IF(TODAY()&gt;=EDATE(AH61,54),"À RENOUVELER","CONFORME"))))</f>
        <v/>
      </c>
      <c r="AL61" s="50"/>
      <c r="AM61" s="54"/>
      <c r="AN61" s="54"/>
      <c r="AO61" s="50"/>
      <c r="AP61" s="50"/>
      <c r="AQ61" s="50"/>
      <c r="AR61" s="50"/>
      <c r="AS61" s="50"/>
      <c r="AT61" s="50"/>
      <c r="AU61" s="50"/>
      <c r="AV61" s="50"/>
      <c r="AW61" s="52"/>
      <c r="AX61" s="52"/>
      <c r="AY61" s="56" t="str">
        <f aca="false">IF(OR(AW61="",AX61=""),"",AW61*AX61)</f>
        <v/>
      </c>
      <c r="AZ61" s="52"/>
      <c r="BA61" s="56" t="str">
        <f aca="false">IF(AY61="","",IF(AZ61="",AY61,ROUNDUP(AY61/AZ61,0)))</f>
        <v/>
      </c>
      <c r="BB61" s="49" t="str">
        <f aca="false">IF(BA61="","",IF(BA61&gt;=15,"P1 – Critique",IF(BA61&gt;=8,"P2 – Élevée",IF(BA61&gt;=4,"P3 – Modérée","P4 – Faible"))))</f>
        <v/>
      </c>
      <c r="BC61" s="50"/>
      <c r="BD61" s="50"/>
      <c r="BE61" s="54"/>
      <c r="BF61" s="57"/>
      <c r="BG61" s="50"/>
      <c r="BH61" s="54"/>
      <c r="BI61" s="54"/>
      <c r="BJ61" s="50"/>
      <c r="BK61" s="50"/>
    </row>
    <row r="62" customFormat="false" ht="15" hidden="false" customHeight="false" outlineLevel="0" collapsed="false">
      <c r="A62" s="49" t="str">
        <f aca="false">IF(B62="","","PC-"&amp;TEXT(ROW()-2,"000"))</f>
        <v/>
      </c>
      <c r="B62" s="50"/>
      <c r="C62" s="50"/>
      <c r="D62" s="51"/>
      <c r="E62" s="51"/>
      <c r="F62" s="51"/>
      <c r="G62" s="50"/>
      <c r="H62" s="50"/>
      <c r="I62" s="50"/>
      <c r="J62" s="51"/>
      <c r="K62" s="50"/>
      <c r="L62" s="50"/>
      <c r="M62" s="50"/>
      <c r="N62" s="50"/>
      <c r="O62" s="52"/>
      <c r="P62" s="50"/>
      <c r="Q62" s="52"/>
      <c r="R62" s="52"/>
      <c r="S62" s="49" t="str">
        <f aca="false">IF(B62="","",IF(OR(O62="",R62=""),"—",IF(O62&lt;=R62,"⚠ RÉAPPRO","OK")))</f>
        <v/>
      </c>
      <c r="T62" s="50"/>
      <c r="U62" s="50"/>
      <c r="V62" s="50"/>
      <c r="W62" s="50"/>
      <c r="X62" s="50"/>
      <c r="Y62" s="53" t="str">
        <f aca="false">IF(B62="","",IF(X62="","—",IF(X62="Non classé","Non classé",IFERROR(INDEX(RefH_Classe,MATCH(TRIM(LEFT(X62,FIND(",",X62&amp;",")-1)),RefH_Code,0)),"Code H inconnu"))))</f>
        <v/>
      </c>
      <c r="Z62" s="50"/>
      <c r="AA62" s="50"/>
      <c r="AB62" s="51"/>
      <c r="AC62" s="51"/>
      <c r="AD62" s="51"/>
      <c r="AE62" s="51"/>
      <c r="AF62" s="50"/>
      <c r="AG62" s="51"/>
      <c r="AH62" s="54"/>
      <c r="AI62" s="51"/>
      <c r="AJ62" s="55" t="str">
        <f aca="false">IF(AH62="","",EDATE(AH62,60))</f>
        <v/>
      </c>
      <c r="AK62" s="49" t="str">
        <f aca="true">IF(B62="","",IF(OR(AG62="Non",AH62=""),"FDS ABSENTE",IF(TODAY()&gt;=EDATE(AH62,60),"EXPIRÉE",IF(TODAY()&gt;=EDATE(AH62,54),"À RENOUVELER","CONFORME"))))</f>
        <v/>
      </c>
      <c r="AL62" s="50"/>
      <c r="AM62" s="54"/>
      <c r="AN62" s="54"/>
      <c r="AO62" s="50"/>
      <c r="AP62" s="50"/>
      <c r="AQ62" s="50"/>
      <c r="AR62" s="50"/>
      <c r="AS62" s="50"/>
      <c r="AT62" s="50"/>
      <c r="AU62" s="50"/>
      <c r="AV62" s="50"/>
      <c r="AW62" s="52"/>
      <c r="AX62" s="52"/>
      <c r="AY62" s="56" t="str">
        <f aca="false">IF(OR(AW62="",AX62=""),"",AW62*AX62)</f>
        <v/>
      </c>
      <c r="AZ62" s="52"/>
      <c r="BA62" s="56" t="str">
        <f aca="false">IF(AY62="","",IF(AZ62="",AY62,ROUNDUP(AY62/AZ62,0)))</f>
        <v/>
      </c>
      <c r="BB62" s="49" t="str">
        <f aca="false">IF(BA62="","",IF(BA62&gt;=15,"P1 – Critique",IF(BA62&gt;=8,"P2 – Élevée",IF(BA62&gt;=4,"P3 – Modérée","P4 – Faible"))))</f>
        <v/>
      </c>
      <c r="BC62" s="50"/>
      <c r="BD62" s="50"/>
      <c r="BE62" s="54"/>
      <c r="BF62" s="57"/>
      <c r="BG62" s="50"/>
      <c r="BH62" s="54"/>
      <c r="BI62" s="54"/>
      <c r="BJ62" s="50"/>
      <c r="BK62" s="50"/>
    </row>
    <row r="63" customFormat="false" ht="15" hidden="false" customHeight="false" outlineLevel="0" collapsed="false">
      <c r="A63" s="49" t="str">
        <f aca="false">IF(B63="","","PC-"&amp;TEXT(ROW()-2,"000"))</f>
        <v/>
      </c>
      <c r="B63" s="50"/>
      <c r="C63" s="50"/>
      <c r="D63" s="51"/>
      <c r="E63" s="51"/>
      <c r="F63" s="51"/>
      <c r="G63" s="50"/>
      <c r="H63" s="50"/>
      <c r="I63" s="50"/>
      <c r="J63" s="51"/>
      <c r="K63" s="50"/>
      <c r="L63" s="50"/>
      <c r="M63" s="50"/>
      <c r="N63" s="50"/>
      <c r="O63" s="52"/>
      <c r="P63" s="50"/>
      <c r="Q63" s="52"/>
      <c r="R63" s="52"/>
      <c r="S63" s="49" t="str">
        <f aca="false">IF(B63="","",IF(OR(O63="",R63=""),"—",IF(O63&lt;=R63,"⚠ RÉAPPRO","OK")))</f>
        <v/>
      </c>
      <c r="T63" s="50"/>
      <c r="U63" s="50"/>
      <c r="V63" s="50"/>
      <c r="W63" s="50"/>
      <c r="X63" s="50"/>
      <c r="Y63" s="53" t="str">
        <f aca="false">IF(B63="","",IF(X63="","—",IF(X63="Non classé","Non classé",IFERROR(INDEX(RefH_Classe,MATCH(TRIM(LEFT(X63,FIND(",",X63&amp;",")-1)),RefH_Code,0)),"Code H inconnu"))))</f>
        <v/>
      </c>
      <c r="Z63" s="50"/>
      <c r="AA63" s="50"/>
      <c r="AB63" s="51"/>
      <c r="AC63" s="51"/>
      <c r="AD63" s="51"/>
      <c r="AE63" s="51"/>
      <c r="AF63" s="50"/>
      <c r="AG63" s="51"/>
      <c r="AH63" s="54"/>
      <c r="AI63" s="51"/>
      <c r="AJ63" s="55" t="str">
        <f aca="false">IF(AH63="","",EDATE(AH63,60))</f>
        <v/>
      </c>
      <c r="AK63" s="49" t="str">
        <f aca="true">IF(B63="","",IF(OR(AG63="Non",AH63=""),"FDS ABSENTE",IF(TODAY()&gt;=EDATE(AH63,60),"EXPIRÉE",IF(TODAY()&gt;=EDATE(AH63,54),"À RENOUVELER","CONFORME"))))</f>
        <v/>
      </c>
      <c r="AL63" s="50"/>
      <c r="AM63" s="54"/>
      <c r="AN63" s="54"/>
      <c r="AO63" s="50"/>
      <c r="AP63" s="50"/>
      <c r="AQ63" s="50"/>
      <c r="AR63" s="50"/>
      <c r="AS63" s="50"/>
      <c r="AT63" s="50"/>
      <c r="AU63" s="50"/>
      <c r="AV63" s="50"/>
      <c r="AW63" s="52"/>
      <c r="AX63" s="52"/>
      <c r="AY63" s="56" t="str">
        <f aca="false">IF(OR(AW63="",AX63=""),"",AW63*AX63)</f>
        <v/>
      </c>
      <c r="AZ63" s="52"/>
      <c r="BA63" s="56" t="str">
        <f aca="false">IF(AY63="","",IF(AZ63="",AY63,ROUNDUP(AY63/AZ63,0)))</f>
        <v/>
      </c>
      <c r="BB63" s="49" t="str">
        <f aca="false">IF(BA63="","",IF(BA63&gt;=15,"P1 – Critique",IF(BA63&gt;=8,"P2 – Élevée",IF(BA63&gt;=4,"P3 – Modérée","P4 – Faible"))))</f>
        <v/>
      </c>
      <c r="BC63" s="50"/>
      <c r="BD63" s="50"/>
      <c r="BE63" s="54"/>
      <c r="BF63" s="57"/>
      <c r="BG63" s="50"/>
      <c r="BH63" s="54"/>
      <c r="BI63" s="54"/>
      <c r="BJ63" s="50"/>
      <c r="BK63" s="50"/>
    </row>
    <row r="64" customFormat="false" ht="15" hidden="false" customHeight="false" outlineLevel="0" collapsed="false">
      <c r="A64" s="49" t="str">
        <f aca="false">IF(B64="","","PC-"&amp;TEXT(ROW()-2,"000"))</f>
        <v/>
      </c>
      <c r="B64" s="50"/>
      <c r="C64" s="50"/>
      <c r="D64" s="51"/>
      <c r="E64" s="51"/>
      <c r="F64" s="51"/>
      <c r="G64" s="50"/>
      <c r="H64" s="50"/>
      <c r="I64" s="50"/>
      <c r="J64" s="51"/>
      <c r="K64" s="50"/>
      <c r="L64" s="50"/>
      <c r="M64" s="50"/>
      <c r="N64" s="50"/>
      <c r="O64" s="52"/>
      <c r="P64" s="50"/>
      <c r="Q64" s="52"/>
      <c r="R64" s="52"/>
      <c r="S64" s="49" t="str">
        <f aca="false">IF(B64="","",IF(OR(O64="",R64=""),"—",IF(O64&lt;=R64,"⚠ RÉAPPRO","OK")))</f>
        <v/>
      </c>
      <c r="T64" s="50"/>
      <c r="U64" s="50"/>
      <c r="V64" s="50"/>
      <c r="W64" s="50"/>
      <c r="X64" s="50"/>
      <c r="Y64" s="53" t="str">
        <f aca="false">IF(B64="","",IF(X64="","—",IF(X64="Non classé","Non classé",IFERROR(INDEX(RefH_Classe,MATCH(TRIM(LEFT(X64,FIND(",",X64&amp;",")-1)),RefH_Code,0)),"Code H inconnu"))))</f>
        <v/>
      </c>
      <c r="Z64" s="50"/>
      <c r="AA64" s="50"/>
      <c r="AB64" s="51"/>
      <c r="AC64" s="51"/>
      <c r="AD64" s="51"/>
      <c r="AE64" s="51"/>
      <c r="AF64" s="50"/>
      <c r="AG64" s="51"/>
      <c r="AH64" s="54"/>
      <c r="AI64" s="51"/>
      <c r="AJ64" s="55" t="str">
        <f aca="false">IF(AH64="","",EDATE(AH64,60))</f>
        <v/>
      </c>
      <c r="AK64" s="49" t="str">
        <f aca="true">IF(B64="","",IF(OR(AG64="Non",AH64=""),"FDS ABSENTE",IF(TODAY()&gt;=EDATE(AH64,60),"EXPIRÉE",IF(TODAY()&gt;=EDATE(AH64,54),"À RENOUVELER","CONFORME"))))</f>
        <v/>
      </c>
      <c r="AL64" s="50"/>
      <c r="AM64" s="54"/>
      <c r="AN64" s="54"/>
      <c r="AO64" s="50"/>
      <c r="AP64" s="50"/>
      <c r="AQ64" s="50"/>
      <c r="AR64" s="50"/>
      <c r="AS64" s="50"/>
      <c r="AT64" s="50"/>
      <c r="AU64" s="50"/>
      <c r="AV64" s="50"/>
      <c r="AW64" s="52"/>
      <c r="AX64" s="52"/>
      <c r="AY64" s="56" t="str">
        <f aca="false">IF(OR(AW64="",AX64=""),"",AW64*AX64)</f>
        <v/>
      </c>
      <c r="AZ64" s="52"/>
      <c r="BA64" s="56" t="str">
        <f aca="false">IF(AY64="","",IF(AZ64="",AY64,ROUNDUP(AY64/AZ64,0)))</f>
        <v/>
      </c>
      <c r="BB64" s="49" t="str">
        <f aca="false">IF(BA64="","",IF(BA64&gt;=15,"P1 – Critique",IF(BA64&gt;=8,"P2 – Élevée",IF(BA64&gt;=4,"P3 – Modérée","P4 – Faible"))))</f>
        <v/>
      </c>
      <c r="BC64" s="50"/>
      <c r="BD64" s="50"/>
      <c r="BE64" s="54"/>
      <c r="BF64" s="57"/>
      <c r="BG64" s="50"/>
      <c r="BH64" s="54"/>
      <c r="BI64" s="54"/>
      <c r="BJ64" s="50"/>
      <c r="BK64" s="50"/>
    </row>
    <row r="65" customFormat="false" ht="15" hidden="false" customHeight="false" outlineLevel="0" collapsed="false">
      <c r="A65" s="49" t="str">
        <f aca="false">IF(B65="","","PC-"&amp;TEXT(ROW()-2,"000"))</f>
        <v/>
      </c>
      <c r="B65" s="50"/>
      <c r="C65" s="50"/>
      <c r="D65" s="51"/>
      <c r="E65" s="51"/>
      <c r="F65" s="51"/>
      <c r="G65" s="50"/>
      <c r="H65" s="50"/>
      <c r="I65" s="50"/>
      <c r="J65" s="51"/>
      <c r="K65" s="50"/>
      <c r="L65" s="50"/>
      <c r="M65" s="50"/>
      <c r="N65" s="50"/>
      <c r="O65" s="52"/>
      <c r="P65" s="50"/>
      <c r="Q65" s="52"/>
      <c r="R65" s="52"/>
      <c r="S65" s="49" t="str">
        <f aca="false">IF(B65="","",IF(OR(O65="",R65=""),"—",IF(O65&lt;=R65,"⚠ RÉAPPRO","OK")))</f>
        <v/>
      </c>
      <c r="T65" s="50"/>
      <c r="U65" s="50"/>
      <c r="V65" s="50"/>
      <c r="W65" s="50"/>
      <c r="X65" s="50"/>
      <c r="Y65" s="53" t="str">
        <f aca="false">IF(B65="","",IF(X65="","—",IF(X65="Non classé","Non classé",IFERROR(INDEX(RefH_Classe,MATCH(TRIM(LEFT(X65,FIND(",",X65&amp;",")-1)),RefH_Code,0)),"Code H inconnu"))))</f>
        <v/>
      </c>
      <c r="Z65" s="50"/>
      <c r="AA65" s="50"/>
      <c r="AB65" s="51"/>
      <c r="AC65" s="51"/>
      <c r="AD65" s="51"/>
      <c r="AE65" s="51"/>
      <c r="AF65" s="50"/>
      <c r="AG65" s="51"/>
      <c r="AH65" s="54"/>
      <c r="AI65" s="51"/>
      <c r="AJ65" s="55" t="str">
        <f aca="false">IF(AH65="","",EDATE(AH65,60))</f>
        <v/>
      </c>
      <c r="AK65" s="49" t="str">
        <f aca="true">IF(B65="","",IF(OR(AG65="Non",AH65=""),"FDS ABSENTE",IF(TODAY()&gt;=EDATE(AH65,60),"EXPIRÉE",IF(TODAY()&gt;=EDATE(AH65,54),"À RENOUVELER","CONFORME"))))</f>
        <v/>
      </c>
      <c r="AL65" s="50"/>
      <c r="AM65" s="54"/>
      <c r="AN65" s="54"/>
      <c r="AO65" s="50"/>
      <c r="AP65" s="50"/>
      <c r="AQ65" s="50"/>
      <c r="AR65" s="50"/>
      <c r="AS65" s="50"/>
      <c r="AT65" s="50"/>
      <c r="AU65" s="50"/>
      <c r="AV65" s="50"/>
      <c r="AW65" s="52"/>
      <c r="AX65" s="52"/>
      <c r="AY65" s="56" t="str">
        <f aca="false">IF(OR(AW65="",AX65=""),"",AW65*AX65)</f>
        <v/>
      </c>
      <c r="AZ65" s="52"/>
      <c r="BA65" s="56" t="str">
        <f aca="false">IF(AY65="","",IF(AZ65="",AY65,ROUNDUP(AY65/AZ65,0)))</f>
        <v/>
      </c>
      <c r="BB65" s="49" t="str">
        <f aca="false">IF(BA65="","",IF(BA65&gt;=15,"P1 – Critique",IF(BA65&gt;=8,"P2 – Élevée",IF(BA65&gt;=4,"P3 – Modérée","P4 – Faible"))))</f>
        <v/>
      </c>
      <c r="BC65" s="50"/>
      <c r="BD65" s="50"/>
      <c r="BE65" s="54"/>
      <c r="BF65" s="57"/>
      <c r="BG65" s="50"/>
      <c r="BH65" s="54"/>
      <c r="BI65" s="54"/>
      <c r="BJ65" s="50"/>
      <c r="BK65" s="50"/>
    </row>
    <row r="66" customFormat="false" ht="15" hidden="false" customHeight="false" outlineLevel="0" collapsed="false">
      <c r="A66" s="49" t="str">
        <f aca="false">IF(B66="","","PC-"&amp;TEXT(ROW()-2,"000"))</f>
        <v/>
      </c>
      <c r="B66" s="50"/>
      <c r="C66" s="50"/>
      <c r="D66" s="51"/>
      <c r="E66" s="51"/>
      <c r="F66" s="51"/>
      <c r="G66" s="50"/>
      <c r="H66" s="50"/>
      <c r="I66" s="50"/>
      <c r="J66" s="51"/>
      <c r="K66" s="50"/>
      <c r="L66" s="50"/>
      <c r="M66" s="50"/>
      <c r="N66" s="50"/>
      <c r="O66" s="52"/>
      <c r="P66" s="50"/>
      <c r="Q66" s="52"/>
      <c r="R66" s="52"/>
      <c r="S66" s="49" t="str">
        <f aca="false">IF(B66="","",IF(OR(O66="",R66=""),"—",IF(O66&lt;=R66,"⚠ RÉAPPRO","OK")))</f>
        <v/>
      </c>
      <c r="T66" s="50"/>
      <c r="U66" s="50"/>
      <c r="V66" s="50"/>
      <c r="W66" s="50"/>
      <c r="X66" s="50"/>
      <c r="Y66" s="53" t="str">
        <f aca="false">IF(B66="","",IF(X66="","—",IF(X66="Non classé","Non classé",IFERROR(INDEX(RefH_Classe,MATCH(TRIM(LEFT(X66,FIND(",",X66&amp;",")-1)),RefH_Code,0)),"Code H inconnu"))))</f>
        <v/>
      </c>
      <c r="Z66" s="50"/>
      <c r="AA66" s="50"/>
      <c r="AB66" s="51"/>
      <c r="AC66" s="51"/>
      <c r="AD66" s="51"/>
      <c r="AE66" s="51"/>
      <c r="AF66" s="50"/>
      <c r="AG66" s="51"/>
      <c r="AH66" s="54"/>
      <c r="AI66" s="51"/>
      <c r="AJ66" s="55" t="str">
        <f aca="false">IF(AH66="","",EDATE(AH66,60))</f>
        <v/>
      </c>
      <c r="AK66" s="49" t="str">
        <f aca="true">IF(B66="","",IF(OR(AG66="Non",AH66=""),"FDS ABSENTE",IF(TODAY()&gt;=EDATE(AH66,60),"EXPIRÉE",IF(TODAY()&gt;=EDATE(AH66,54),"À RENOUVELER","CONFORME"))))</f>
        <v/>
      </c>
      <c r="AL66" s="50"/>
      <c r="AM66" s="54"/>
      <c r="AN66" s="54"/>
      <c r="AO66" s="50"/>
      <c r="AP66" s="50"/>
      <c r="AQ66" s="50"/>
      <c r="AR66" s="50"/>
      <c r="AS66" s="50"/>
      <c r="AT66" s="50"/>
      <c r="AU66" s="50"/>
      <c r="AV66" s="50"/>
      <c r="AW66" s="52"/>
      <c r="AX66" s="52"/>
      <c r="AY66" s="56" t="str">
        <f aca="false">IF(OR(AW66="",AX66=""),"",AW66*AX66)</f>
        <v/>
      </c>
      <c r="AZ66" s="52"/>
      <c r="BA66" s="56" t="str">
        <f aca="false">IF(AY66="","",IF(AZ66="",AY66,ROUNDUP(AY66/AZ66,0)))</f>
        <v/>
      </c>
      <c r="BB66" s="49" t="str">
        <f aca="false">IF(BA66="","",IF(BA66&gt;=15,"P1 – Critique",IF(BA66&gt;=8,"P2 – Élevée",IF(BA66&gt;=4,"P3 – Modérée","P4 – Faible"))))</f>
        <v/>
      </c>
      <c r="BC66" s="50"/>
      <c r="BD66" s="50"/>
      <c r="BE66" s="54"/>
      <c r="BF66" s="57"/>
      <c r="BG66" s="50"/>
      <c r="BH66" s="54"/>
      <c r="BI66" s="54"/>
      <c r="BJ66" s="50"/>
      <c r="BK66" s="50"/>
    </row>
    <row r="67" customFormat="false" ht="15" hidden="false" customHeight="false" outlineLevel="0" collapsed="false">
      <c r="A67" s="49" t="str">
        <f aca="false">IF(B67="","","PC-"&amp;TEXT(ROW()-2,"000"))</f>
        <v/>
      </c>
      <c r="B67" s="50"/>
      <c r="C67" s="50"/>
      <c r="D67" s="51"/>
      <c r="E67" s="51"/>
      <c r="F67" s="51"/>
      <c r="G67" s="50"/>
      <c r="H67" s="50"/>
      <c r="I67" s="50"/>
      <c r="J67" s="51"/>
      <c r="K67" s="50"/>
      <c r="L67" s="50"/>
      <c r="M67" s="50"/>
      <c r="N67" s="50"/>
      <c r="O67" s="52"/>
      <c r="P67" s="50"/>
      <c r="Q67" s="52"/>
      <c r="R67" s="52"/>
      <c r="S67" s="49" t="str">
        <f aca="false">IF(B67="","",IF(OR(O67="",R67=""),"—",IF(O67&lt;=R67,"⚠ RÉAPPRO","OK")))</f>
        <v/>
      </c>
      <c r="T67" s="50"/>
      <c r="U67" s="50"/>
      <c r="V67" s="50"/>
      <c r="W67" s="50"/>
      <c r="X67" s="50"/>
      <c r="Y67" s="53" t="str">
        <f aca="false">IF(B67="","",IF(X67="","—",IF(X67="Non classé","Non classé",IFERROR(INDEX(RefH_Classe,MATCH(TRIM(LEFT(X67,FIND(",",X67&amp;",")-1)),RefH_Code,0)),"Code H inconnu"))))</f>
        <v/>
      </c>
      <c r="Z67" s="50"/>
      <c r="AA67" s="50"/>
      <c r="AB67" s="51"/>
      <c r="AC67" s="51"/>
      <c r="AD67" s="51"/>
      <c r="AE67" s="51"/>
      <c r="AF67" s="50"/>
      <c r="AG67" s="51"/>
      <c r="AH67" s="54"/>
      <c r="AI67" s="51"/>
      <c r="AJ67" s="55" t="str">
        <f aca="false">IF(AH67="","",EDATE(AH67,60))</f>
        <v/>
      </c>
      <c r="AK67" s="49" t="str">
        <f aca="true">IF(B67="","",IF(OR(AG67="Non",AH67=""),"FDS ABSENTE",IF(TODAY()&gt;=EDATE(AH67,60),"EXPIRÉE",IF(TODAY()&gt;=EDATE(AH67,54),"À RENOUVELER","CONFORME"))))</f>
        <v/>
      </c>
      <c r="AL67" s="50"/>
      <c r="AM67" s="54"/>
      <c r="AN67" s="54"/>
      <c r="AO67" s="50"/>
      <c r="AP67" s="50"/>
      <c r="AQ67" s="50"/>
      <c r="AR67" s="50"/>
      <c r="AS67" s="50"/>
      <c r="AT67" s="50"/>
      <c r="AU67" s="50"/>
      <c r="AV67" s="50"/>
      <c r="AW67" s="52"/>
      <c r="AX67" s="52"/>
      <c r="AY67" s="56" t="str">
        <f aca="false">IF(OR(AW67="",AX67=""),"",AW67*AX67)</f>
        <v/>
      </c>
      <c r="AZ67" s="52"/>
      <c r="BA67" s="56" t="str">
        <f aca="false">IF(AY67="","",IF(AZ67="",AY67,ROUNDUP(AY67/AZ67,0)))</f>
        <v/>
      </c>
      <c r="BB67" s="49" t="str">
        <f aca="false">IF(BA67="","",IF(BA67&gt;=15,"P1 – Critique",IF(BA67&gt;=8,"P2 – Élevée",IF(BA67&gt;=4,"P3 – Modérée","P4 – Faible"))))</f>
        <v/>
      </c>
      <c r="BC67" s="50"/>
      <c r="BD67" s="50"/>
      <c r="BE67" s="54"/>
      <c r="BF67" s="57"/>
      <c r="BG67" s="50"/>
      <c r="BH67" s="54"/>
      <c r="BI67" s="54"/>
      <c r="BJ67" s="50"/>
      <c r="BK67" s="50"/>
    </row>
    <row r="68" customFormat="false" ht="15" hidden="false" customHeight="false" outlineLevel="0" collapsed="false">
      <c r="A68" s="49" t="str">
        <f aca="false">IF(B68="","","PC-"&amp;TEXT(ROW()-2,"000"))</f>
        <v/>
      </c>
      <c r="B68" s="50"/>
      <c r="C68" s="50"/>
      <c r="D68" s="51"/>
      <c r="E68" s="51"/>
      <c r="F68" s="51"/>
      <c r="G68" s="50"/>
      <c r="H68" s="50"/>
      <c r="I68" s="50"/>
      <c r="J68" s="51"/>
      <c r="K68" s="50"/>
      <c r="L68" s="50"/>
      <c r="M68" s="50"/>
      <c r="N68" s="50"/>
      <c r="O68" s="52"/>
      <c r="P68" s="50"/>
      <c r="Q68" s="52"/>
      <c r="R68" s="52"/>
      <c r="S68" s="49" t="str">
        <f aca="false">IF(B68="","",IF(OR(O68="",R68=""),"—",IF(O68&lt;=R68,"⚠ RÉAPPRO","OK")))</f>
        <v/>
      </c>
      <c r="T68" s="50"/>
      <c r="U68" s="50"/>
      <c r="V68" s="50"/>
      <c r="W68" s="50"/>
      <c r="X68" s="50"/>
      <c r="Y68" s="53" t="str">
        <f aca="false">IF(B68="","",IF(X68="","—",IF(X68="Non classé","Non classé",IFERROR(INDEX(RefH_Classe,MATCH(TRIM(LEFT(X68,FIND(",",X68&amp;",")-1)),RefH_Code,0)),"Code H inconnu"))))</f>
        <v/>
      </c>
      <c r="Z68" s="50"/>
      <c r="AA68" s="50"/>
      <c r="AB68" s="51"/>
      <c r="AC68" s="51"/>
      <c r="AD68" s="51"/>
      <c r="AE68" s="51"/>
      <c r="AF68" s="50"/>
      <c r="AG68" s="51"/>
      <c r="AH68" s="54"/>
      <c r="AI68" s="51"/>
      <c r="AJ68" s="55" t="str">
        <f aca="false">IF(AH68="","",EDATE(AH68,60))</f>
        <v/>
      </c>
      <c r="AK68" s="49" t="str">
        <f aca="true">IF(B68="","",IF(OR(AG68="Non",AH68=""),"FDS ABSENTE",IF(TODAY()&gt;=EDATE(AH68,60),"EXPIRÉE",IF(TODAY()&gt;=EDATE(AH68,54),"À RENOUVELER","CONFORME"))))</f>
        <v/>
      </c>
      <c r="AL68" s="50"/>
      <c r="AM68" s="54"/>
      <c r="AN68" s="54"/>
      <c r="AO68" s="50"/>
      <c r="AP68" s="50"/>
      <c r="AQ68" s="50"/>
      <c r="AR68" s="50"/>
      <c r="AS68" s="50"/>
      <c r="AT68" s="50"/>
      <c r="AU68" s="50"/>
      <c r="AV68" s="50"/>
      <c r="AW68" s="52"/>
      <c r="AX68" s="52"/>
      <c r="AY68" s="56" t="str">
        <f aca="false">IF(OR(AW68="",AX68=""),"",AW68*AX68)</f>
        <v/>
      </c>
      <c r="AZ68" s="52"/>
      <c r="BA68" s="56" t="str">
        <f aca="false">IF(AY68="","",IF(AZ68="",AY68,ROUNDUP(AY68/AZ68,0)))</f>
        <v/>
      </c>
      <c r="BB68" s="49" t="str">
        <f aca="false">IF(BA68="","",IF(BA68&gt;=15,"P1 – Critique",IF(BA68&gt;=8,"P2 – Élevée",IF(BA68&gt;=4,"P3 – Modérée","P4 – Faible"))))</f>
        <v/>
      </c>
      <c r="BC68" s="50"/>
      <c r="BD68" s="50"/>
      <c r="BE68" s="54"/>
      <c r="BF68" s="57"/>
      <c r="BG68" s="50"/>
      <c r="BH68" s="54"/>
      <c r="BI68" s="54"/>
      <c r="BJ68" s="50"/>
      <c r="BK68" s="50"/>
    </row>
    <row r="69" customFormat="false" ht="15" hidden="false" customHeight="false" outlineLevel="0" collapsed="false">
      <c r="A69" s="49" t="str">
        <f aca="false">IF(B69="","","PC-"&amp;TEXT(ROW()-2,"000"))</f>
        <v/>
      </c>
      <c r="B69" s="50"/>
      <c r="C69" s="50"/>
      <c r="D69" s="51"/>
      <c r="E69" s="51"/>
      <c r="F69" s="51"/>
      <c r="G69" s="50"/>
      <c r="H69" s="50"/>
      <c r="I69" s="50"/>
      <c r="J69" s="51"/>
      <c r="K69" s="50"/>
      <c r="L69" s="50"/>
      <c r="M69" s="50"/>
      <c r="N69" s="50"/>
      <c r="O69" s="52"/>
      <c r="P69" s="50"/>
      <c r="Q69" s="52"/>
      <c r="R69" s="52"/>
      <c r="S69" s="49" t="str">
        <f aca="false">IF(B69="","",IF(OR(O69="",R69=""),"—",IF(O69&lt;=R69,"⚠ RÉAPPRO","OK")))</f>
        <v/>
      </c>
      <c r="T69" s="50"/>
      <c r="U69" s="50"/>
      <c r="V69" s="50"/>
      <c r="W69" s="50"/>
      <c r="X69" s="50"/>
      <c r="Y69" s="53" t="str">
        <f aca="false">IF(B69="","",IF(X69="","—",IF(X69="Non classé","Non classé",IFERROR(INDEX(RefH_Classe,MATCH(TRIM(LEFT(X69,FIND(",",X69&amp;",")-1)),RefH_Code,0)),"Code H inconnu"))))</f>
        <v/>
      </c>
      <c r="Z69" s="50"/>
      <c r="AA69" s="50"/>
      <c r="AB69" s="51"/>
      <c r="AC69" s="51"/>
      <c r="AD69" s="51"/>
      <c r="AE69" s="51"/>
      <c r="AF69" s="50"/>
      <c r="AG69" s="51"/>
      <c r="AH69" s="54"/>
      <c r="AI69" s="51"/>
      <c r="AJ69" s="55" t="str">
        <f aca="false">IF(AH69="","",EDATE(AH69,60))</f>
        <v/>
      </c>
      <c r="AK69" s="49" t="str">
        <f aca="true">IF(B69="","",IF(OR(AG69="Non",AH69=""),"FDS ABSENTE",IF(TODAY()&gt;=EDATE(AH69,60),"EXPIRÉE",IF(TODAY()&gt;=EDATE(AH69,54),"À RENOUVELER","CONFORME"))))</f>
        <v/>
      </c>
      <c r="AL69" s="50"/>
      <c r="AM69" s="54"/>
      <c r="AN69" s="54"/>
      <c r="AO69" s="50"/>
      <c r="AP69" s="50"/>
      <c r="AQ69" s="50"/>
      <c r="AR69" s="50"/>
      <c r="AS69" s="50"/>
      <c r="AT69" s="50"/>
      <c r="AU69" s="50"/>
      <c r="AV69" s="50"/>
      <c r="AW69" s="52"/>
      <c r="AX69" s="52"/>
      <c r="AY69" s="56" t="str">
        <f aca="false">IF(OR(AW69="",AX69=""),"",AW69*AX69)</f>
        <v/>
      </c>
      <c r="AZ69" s="52"/>
      <c r="BA69" s="56" t="str">
        <f aca="false">IF(AY69="","",IF(AZ69="",AY69,ROUNDUP(AY69/AZ69,0)))</f>
        <v/>
      </c>
      <c r="BB69" s="49" t="str">
        <f aca="false">IF(BA69="","",IF(BA69&gt;=15,"P1 – Critique",IF(BA69&gt;=8,"P2 – Élevée",IF(BA69&gt;=4,"P3 – Modérée","P4 – Faible"))))</f>
        <v/>
      </c>
      <c r="BC69" s="50"/>
      <c r="BD69" s="50"/>
      <c r="BE69" s="54"/>
      <c r="BF69" s="57"/>
      <c r="BG69" s="50"/>
      <c r="BH69" s="54"/>
      <c r="BI69" s="54"/>
      <c r="BJ69" s="50"/>
      <c r="BK69" s="50"/>
    </row>
    <row r="70" customFormat="false" ht="15" hidden="false" customHeight="false" outlineLevel="0" collapsed="false">
      <c r="A70" s="49" t="str">
        <f aca="false">IF(B70="","","PC-"&amp;TEXT(ROW()-2,"000"))</f>
        <v/>
      </c>
      <c r="B70" s="50"/>
      <c r="C70" s="50"/>
      <c r="D70" s="51"/>
      <c r="E70" s="51"/>
      <c r="F70" s="51"/>
      <c r="G70" s="50"/>
      <c r="H70" s="50"/>
      <c r="I70" s="50"/>
      <c r="J70" s="51"/>
      <c r="K70" s="50"/>
      <c r="L70" s="50"/>
      <c r="M70" s="50"/>
      <c r="N70" s="50"/>
      <c r="O70" s="52"/>
      <c r="P70" s="50"/>
      <c r="Q70" s="52"/>
      <c r="R70" s="52"/>
      <c r="S70" s="49" t="str">
        <f aca="false">IF(B70="","",IF(OR(O70="",R70=""),"—",IF(O70&lt;=R70,"⚠ RÉAPPRO","OK")))</f>
        <v/>
      </c>
      <c r="T70" s="50"/>
      <c r="U70" s="50"/>
      <c r="V70" s="50"/>
      <c r="W70" s="50"/>
      <c r="X70" s="50"/>
      <c r="Y70" s="53" t="str">
        <f aca="false">IF(B70="","",IF(X70="","—",IF(X70="Non classé","Non classé",IFERROR(INDEX(RefH_Classe,MATCH(TRIM(LEFT(X70,FIND(",",X70&amp;",")-1)),RefH_Code,0)),"Code H inconnu"))))</f>
        <v/>
      </c>
      <c r="Z70" s="50"/>
      <c r="AA70" s="50"/>
      <c r="AB70" s="51"/>
      <c r="AC70" s="51"/>
      <c r="AD70" s="51"/>
      <c r="AE70" s="51"/>
      <c r="AF70" s="50"/>
      <c r="AG70" s="51"/>
      <c r="AH70" s="54"/>
      <c r="AI70" s="51"/>
      <c r="AJ70" s="55" t="str">
        <f aca="false">IF(AH70="","",EDATE(AH70,60))</f>
        <v/>
      </c>
      <c r="AK70" s="49" t="str">
        <f aca="true">IF(B70="","",IF(OR(AG70="Non",AH70=""),"FDS ABSENTE",IF(TODAY()&gt;=EDATE(AH70,60),"EXPIRÉE",IF(TODAY()&gt;=EDATE(AH70,54),"À RENOUVELER","CONFORME"))))</f>
        <v/>
      </c>
      <c r="AL70" s="50"/>
      <c r="AM70" s="54"/>
      <c r="AN70" s="54"/>
      <c r="AO70" s="50"/>
      <c r="AP70" s="50"/>
      <c r="AQ70" s="50"/>
      <c r="AR70" s="50"/>
      <c r="AS70" s="50"/>
      <c r="AT70" s="50"/>
      <c r="AU70" s="50"/>
      <c r="AV70" s="50"/>
      <c r="AW70" s="52"/>
      <c r="AX70" s="52"/>
      <c r="AY70" s="56" t="str">
        <f aca="false">IF(OR(AW70="",AX70=""),"",AW70*AX70)</f>
        <v/>
      </c>
      <c r="AZ70" s="52"/>
      <c r="BA70" s="56" t="str">
        <f aca="false">IF(AY70="","",IF(AZ70="",AY70,ROUNDUP(AY70/AZ70,0)))</f>
        <v/>
      </c>
      <c r="BB70" s="49" t="str">
        <f aca="false">IF(BA70="","",IF(BA70&gt;=15,"P1 – Critique",IF(BA70&gt;=8,"P2 – Élevée",IF(BA70&gt;=4,"P3 – Modérée","P4 – Faible"))))</f>
        <v/>
      </c>
      <c r="BC70" s="50"/>
      <c r="BD70" s="50"/>
      <c r="BE70" s="54"/>
      <c r="BF70" s="57"/>
      <c r="BG70" s="50"/>
      <c r="BH70" s="54"/>
      <c r="BI70" s="54"/>
      <c r="BJ70" s="50"/>
      <c r="BK70" s="50"/>
    </row>
    <row r="71" customFormat="false" ht="15" hidden="false" customHeight="false" outlineLevel="0" collapsed="false">
      <c r="A71" s="49" t="str">
        <f aca="false">IF(B71="","","PC-"&amp;TEXT(ROW()-2,"000"))</f>
        <v/>
      </c>
      <c r="B71" s="50"/>
      <c r="C71" s="50"/>
      <c r="D71" s="51"/>
      <c r="E71" s="51"/>
      <c r="F71" s="51"/>
      <c r="G71" s="50"/>
      <c r="H71" s="50"/>
      <c r="I71" s="50"/>
      <c r="J71" s="51"/>
      <c r="K71" s="50"/>
      <c r="L71" s="50"/>
      <c r="M71" s="50"/>
      <c r="N71" s="50"/>
      <c r="O71" s="52"/>
      <c r="P71" s="50"/>
      <c r="Q71" s="52"/>
      <c r="R71" s="52"/>
      <c r="S71" s="49" t="str">
        <f aca="false">IF(B71="","",IF(OR(O71="",R71=""),"—",IF(O71&lt;=R71,"⚠ RÉAPPRO","OK")))</f>
        <v/>
      </c>
      <c r="T71" s="50"/>
      <c r="U71" s="50"/>
      <c r="V71" s="50"/>
      <c r="W71" s="50"/>
      <c r="X71" s="50"/>
      <c r="Y71" s="53" t="str">
        <f aca="false">IF(B71="","",IF(X71="","—",IF(X71="Non classé","Non classé",IFERROR(INDEX(RefH_Classe,MATCH(TRIM(LEFT(X71,FIND(",",X71&amp;",")-1)),RefH_Code,0)),"Code H inconnu"))))</f>
        <v/>
      </c>
      <c r="Z71" s="50"/>
      <c r="AA71" s="50"/>
      <c r="AB71" s="51"/>
      <c r="AC71" s="51"/>
      <c r="AD71" s="51"/>
      <c r="AE71" s="51"/>
      <c r="AF71" s="50"/>
      <c r="AG71" s="51"/>
      <c r="AH71" s="54"/>
      <c r="AI71" s="51"/>
      <c r="AJ71" s="55" t="str">
        <f aca="false">IF(AH71="","",EDATE(AH71,60))</f>
        <v/>
      </c>
      <c r="AK71" s="49" t="str">
        <f aca="true">IF(B71="","",IF(OR(AG71="Non",AH71=""),"FDS ABSENTE",IF(TODAY()&gt;=EDATE(AH71,60),"EXPIRÉE",IF(TODAY()&gt;=EDATE(AH71,54),"À RENOUVELER","CONFORME"))))</f>
        <v/>
      </c>
      <c r="AL71" s="50"/>
      <c r="AM71" s="54"/>
      <c r="AN71" s="54"/>
      <c r="AO71" s="50"/>
      <c r="AP71" s="50"/>
      <c r="AQ71" s="50"/>
      <c r="AR71" s="50"/>
      <c r="AS71" s="50"/>
      <c r="AT71" s="50"/>
      <c r="AU71" s="50"/>
      <c r="AV71" s="50"/>
      <c r="AW71" s="52"/>
      <c r="AX71" s="52"/>
      <c r="AY71" s="56" t="str">
        <f aca="false">IF(OR(AW71="",AX71=""),"",AW71*AX71)</f>
        <v/>
      </c>
      <c r="AZ71" s="52"/>
      <c r="BA71" s="56" t="str">
        <f aca="false">IF(AY71="","",IF(AZ71="",AY71,ROUNDUP(AY71/AZ71,0)))</f>
        <v/>
      </c>
      <c r="BB71" s="49" t="str">
        <f aca="false">IF(BA71="","",IF(BA71&gt;=15,"P1 – Critique",IF(BA71&gt;=8,"P2 – Élevée",IF(BA71&gt;=4,"P3 – Modérée","P4 – Faible"))))</f>
        <v/>
      </c>
      <c r="BC71" s="50"/>
      <c r="BD71" s="50"/>
      <c r="BE71" s="54"/>
      <c r="BF71" s="57"/>
      <c r="BG71" s="50"/>
      <c r="BH71" s="54"/>
      <c r="BI71" s="54"/>
      <c r="BJ71" s="50"/>
      <c r="BK71" s="50"/>
    </row>
    <row r="72" customFormat="false" ht="15" hidden="false" customHeight="false" outlineLevel="0" collapsed="false">
      <c r="A72" s="49" t="str">
        <f aca="false">IF(B72="","","PC-"&amp;TEXT(ROW()-2,"000"))</f>
        <v/>
      </c>
      <c r="B72" s="50"/>
      <c r="C72" s="50"/>
      <c r="D72" s="51"/>
      <c r="E72" s="51"/>
      <c r="F72" s="51"/>
      <c r="G72" s="50"/>
      <c r="H72" s="50"/>
      <c r="I72" s="50"/>
      <c r="J72" s="51"/>
      <c r="K72" s="50"/>
      <c r="L72" s="50"/>
      <c r="M72" s="50"/>
      <c r="N72" s="50"/>
      <c r="O72" s="52"/>
      <c r="P72" s="50"/>
      <c r="Q72" s="52"/>
      <c r="R72" s="52"/>
      <c r="S72" s="49" t="str">
        <f aca="false">IF(B72="","",IF(OR(O72="",R72=""),"—",IF(O72&lt;=R72,"⚠ RÉAPPRO","OK")))</f>
        <v/>
      </c>
      <c r="T72" s="50"/>
      <c r="U72" s="50"/>
      <c r="V72" s="50"/>
      <c r="W72" s="50"/>
      <c r="X72" s="50"/>
      <c r="Y72" s="53" t="str">
        <f aca="false">IF(B72="","",IF(X72="","—",IF(X72="Non classé","Non classé",IFERROR(INDEX(RefH_Classe,MATCH(TRIM(LEFT(X72,FIND(",",X72&amp;",")-1)),RefH_Code,0)),"Code H inconnu"))))</f>
        <v/>
      </c>
      <c r="Z72" s="50"/>
      <c r="AA72" s="50"/>
      <c r="AB72" s="51"/>
      <c r="AC72" s="51"/>
      <c r="AD72" s="51"/>
      <c r="AE72" s="51"/>
      <c r="AF72" s="50"/>
      <c r="AG72" s="51"/>
      <c r="AH72" s="54"/>
      <c r="AI72" s="51"/>
      <c r="AJ72" s="55" t="str">
        <f aca="false">IF(AH72="","",EDATE(AH72,60))</f>
        <v/>
      </c>
      <c r="AK72" s="49" t="str">
        <f aca="true">IF(B72="","",IF(OR(AG72="Non",AH72=""),"FDS ABSENTE",IF(TODAY()&gt;=EDATE(AH72,60),"EXPIRÉE",IF(TODAY()&gt;=EDATE(AH72,54),"À RENOUVELER","CONFORME"))))</f>
        <v/>
      </c>
      <c r="AL72" s="50"/>
      <c r="AM72" s="54"/>
      <c r="AN72" s="54"/>
      <c r="AO72" s="50"/>
      <c r="AP72" s="50"/>
      <c r="AQ72" s="50"/>
      <c r="AR72" s="50"/>
      <c r="AS72" s="50"/>
      <c r="AT72" s="50"/>
      <c r="AU72" s="50"/>
      <c r="AV72" s="50"/>
      <c r="AW72" s="52"/>
      <c r="AX72" s="52"/>
      <c r="AY72" s="56" t="str">
        <f aca="false">IF(OR(AW72="",AX72=""),"",AW72*AX72)</f>
        <v/>
      </c>
      <c r="AZ72" s="52"/>
      <c r="BA72" s="56" t="str">
        <f aca="false">IF(AY72="","",IF(AZ72="",AY72,ROUNDUP(AY72/AZ72,0)))</f>
        <v/>
      </c>
      <c r="BB72" s="49" t="str">
        <f aca="false">IF(BA72="","",IF(BA72&gt;=15,"P1 – Critique",IF(BA72&gt;=8,"P2 – Élevée",IF(BA72&gt;=4,"P3 – Modérée","P4 – Faible"))))</f>
        <v/>
      </c>
      <c r="BC72" s="50"/>
      <c r="BD72" s="50"/>
      <c r="BE72" s="54"/>
      <c r="BF72" s="57"/>
      <c r="BG72" s="50"/>
      <c r="BH72" s="54"/>
      <c r="BI72" s="54"/>
      <c r="BJ72" s="50"/>
      <c r="BK72" s="50"/>
    </row>
    <row r="73" customFormat="false" ht="15" hidden="false" customHeight="false" outlineLevel="0" collapsed="false">
      <c r="A73" s="49" t="str">
        <f aca="false">IF(B73="","","PC-"&amp;TEXT(ROW()-2,"000"))</f>
        <v/>
      </c>
      <c r="B73" s="50"/>
      <c r="C73" s="50"/>
      <c r="D73" s="51"/>
      <c r="E73" s="51"/>
      <c r="F73" s="51"/>
      <c r="G73" s="50"/>
      <c r="H73" s="50"/>
      <c r="I73" s="50"/>
      <c r="J73" s="51"/>
      <c r="K73" s="50"/>
      <c r="L73" s="50"/>
      <c r="M73" s="50"/>
      <c r="N73" s="50"/>
      <c r="O73" s="52"/>
      <c r="P73" s="50"/>
      <c r="Q73" s="52"/>
      <c r="R73" s="52"/>
      <c r="S73" s="49" t="str">
        <f aca="false">IF(B73="","",IF(OR(O73="",R73=""),"—",IF(O73&lt;=R73,"⚠ RÉAPPRO","OK")))</f>
        <v/>
      </c>
      <c r="T73" s="50"/>
      <c r="U73" s="50"/>
      <c r="V73" s="50"/>
      <c r="W73" s="50"/>
      <c r="X73" s="50"/>
      <c r="Y73" s="53" t="str">
        <f aca="false">IF(B73="","",IF(X73="","—",IF(X73="Non classé","Non classé",IFERROR(INDEX(RefH_Classe,MATCH(TRIM(LEFT(X73,FIND(",",X73&amp;",")-1)),RefH_Code,0)),"Code H inconnu"))))</f>
        <v/>
      </c>
      <c r="Z73" s="50"/>
      <c r="AA73" s="50"/>
      <c r="AB73" s="51"/>
      <c r="AC73" s="51"/>
      <c r="AD73" s="51"/>
      <c r="AE73" s="51"/>
      <c r="AF73" s="50"/>
      <c r="AG73" s="51"/>
      <c r="AH73" s="54"/>
      <c r="AI73" s="51"/>
      <c r="AJ73" s="55" t="str">
        <f aca="false">IF(AH73="","",EDATE(AH73,60))</f>
        <v/>
      </c>
      <c r="AK73" s="49" t="str">
        <f aca="true">IF(B73="","",IF(OR(AG73="Non",AH73=""),"FDS ABSENTE",IF(TODAY()&gt;=EDATE(AH73,60),"EXPIRÉE",IF(TODAY()&gt;=EDATE(AH73,54),"À RENOUVELER","CONFORME"))))</f>
        <v/>
      </c>
      <c r="AL73" s="50"/>
      <c r="AM73" s="54"/>
      <c r="AN73" s="54"/>
      <c r="AO73" s="50"/>
      <c r="AP73" s="50"/>
      <c r="AQ73" s="50"/>
      <c r="AR73" s="50"/>
      <c r="AS73" s="50"/>
      <c r="AT73" s="50"/>
      <c r="AU73" s="50"/>
      <c r="AV73" s="50"/>
      <c r="AW73" s="52"/>
      <c r="AX73" s="52"/>
      <c r="AY73" s="56" t="str">
        <f aca="false">IF(OR(AW73="",AX73=""),"",AW73*AX73)</f>
        <v/>
      </c>
      <c r="AZ73" s="52"/>
      <c r="BA73" s="56" t="str">
        <f aca="false">IF(AY73="","",IF(AZ73="",AY73,ROUNDUP(AY73/AZ73,0)))</f>
        <v/>
      </c>
      <c r="BB73" s="49" t="str">
        <f aca="false">IF(BA73="","",IF(BA73&gt;=15,"P1 – Critique",IF(BA73&gt;=8,"P2 – Élevée",IF(BA73&gt;=4,"P3 – Modérée","P4 – Faible"))))</f>
        <v/>
      </c>
      <c r="BC73" s="50"/>
      <c r="BD73" s="50"/>
      <c r="BE73" s="54"/>
      <c r="BF73" s="57"/>
      <c r="BG73" s="50"/>
      <c r="BH73" s="54"/>
      <c r="BI73" s="54"/>
      <c r="BJ73" s="50"/>
      <c r="BK73" s="50"/>
    </row>
    <row r="74" customFormat="false" ht="15" hidden="false" customHeight="false" outlineLevel="0" collapsed="false">
      <c r="A74" s="49" t="str">
        <f aca="false">IF(B74="","","PC-"&amp;TEXT(ROW()-2,"000"))</f>
        <v/>
      </c>
      <c r="B74" s="50"/>
      <c r="C74" s="50"/>
      <c r="D74" s="51"/>
      <c r="E74" s="51"/>
      <c r="F74" s="51"/>
      <c r="G74" s="50"/>
      <c r="H74" s="50"/>
      <c r="I74" s="50"/>
      <c r="J74" s="51"/>
      <c r="K74" s="50"/>
      <c r="L74" s="50"/>
      <c r="M74" s="50"/>
      <c r="N74" s="50"/>
      <c r="O74" s="52"/>
      <c r="P74" s="50"/>
      <c r="Q74" s="52"/>
      <c r="R74" s="52"/>
      <c r="S74" s="49" t="str">
        <f aca="false">IF(B74="","",IF(OR(O74="",R74=""),"—",IF(O74&lt;=R74,"⚠ RÉAPPRO","OK")))</f>
        <v/>
      </c>
      <c r="T74" s="50"/>
      <c r="U74" s="50"/>
      <c r="V74" s="50"/>
      <c r="W74" s="50"/>
      <c r="X74" s="50"/>
      <c r="Y74" s="53" t="str">
        <f aca="false">IF(B74="","",IF(X74="","—",IF(X74="Non classé","Non classé",IFERROR(INDEX(RefH_Classe,MATCH(TRIM(LEFT(X74,FIND(",",X74&amp;",")-1)),RefH_Code,0)),"Code H inconnu"))))</f>
        <v/>
      </c>
      <c r="Z74" s="50"/>
      <c r="AA74" s="50"/>
      <c r="AB74" s="51"/>
      <c r="AC74" s="51"/>
      <c r="AD74" s="51"/>
      <c r="AE74" s="51"/>
      <c r="AF74" s="50"/>
      <c r="AG74" s="51"/>
      <c r="AH74" s="54"/>
      <c r="AI74" s="51"/>
      <c r="AJ74" s="55" t="str">
        <f aca="false">IF(AH74="","",EDATE(AH74,60))</f>
        <v/>
      </c>
      <c r="AK74" s="49" t="str">
        <f aca="true">IF(B74="","",IF(OR(AG74="Non",AH74=""),"FDS ABSENTE",IF(TODAY()&gt;=EDATE(AH74,60),"EXPIRÉE",IF(TODAY()&gt;=EDATE(AH74,54),"À RENOUVELER","CONFORME"))))</f>
        <v/>
      </c>
      <c r="AL74" s="50"/>
      <c r="AM74" s="54"/>
      <c r="AN74" s="54"/>
      <c r="AO74" s="50"/>
      <c r="AP74" s="50"/>
      <c r="AQ74" s="50"/>
      <c r="AR74" s="50"/>
      <c r="AS74" s="50"/>
      <c r="AT74" s="50"/>
      <c r="AU74" s="50"/>
      <c r="AV74" s="50"/>
      <c r="AW74" s="52"/>
      <c r="AX74" s="52"/>
      <c r="AY74" s="56" t="str">
        <f aca="false">IF(OR(AW74="",AX74=""),"",AW74*AX74)</f>
        <v/>
      </c>
      <c r="AZ74" s="52"/>
      <c r="BA74" s="56" t="str">
        <f aca="false">IF(AY74="","",IF(AZ74="",AY74,ROUNDUP(AY74/AZ74,0)))</f>
        <v/>
      </c>
      <c r="BB74" s="49" t="str">
        <f aca="false">IF(BA74="","",IF(BA74&gt;=15,"P1 – Critique",IF(BA74&gt;=8,"P2 – Élevée",IF(BA74&gt;=4,"P3 – Modérée","P4 – Faible"))))</f>
        <v/>
      </c>
      <c r="BC74" s="50"/>
      <c r="BD74" s="50"/>
      <c r="BE74" s="54"/>
      <c r="BF74" s="57"/>
      <c r="BG74" s="50"/>
      <c r="BH74" s="54"/>
      <c r="BI74" s="54"/>
      <c r="BJ74" s="50"/>
      <c r="BK74" s="50"/>
    </row>
    <row r="75" customFormat="false" ht="15" hidden="false" customHeight="false" outlineLevel="0" collapsed="false">
      <c r="A75" s="49" t="str">
        <f aca="false">IF(B75="","","PC-"&amp;TEXT(ROW()-2,"000"))</f>
        <v/>
      </c>
      <c r="B75" s="50"/>
      <c r="C75" s="50"/>
      <c r="D75" s="51"/>
      <c r="E75" s="51"/>
      <c r="F75" s="51"/>
      <c r="G75" s="50"/>
      <c r="H75" s="50"/>
      <c r="I75" s="50"/>
      <c r="J75" s="51"/>
      <c r="K75" s="50"/>
      <c r="L75" s="50"/>
      <c r="M75" s="50"/>
      <c r="N75" s="50"/>
      <c r="O75" s="52"/>
      <c r="P75" s="50"/>
      <c r="Q75" s="52"/>
      <c r="R75" s="52"/>
      <c r="S75" s="49" t="str">
        <f aca="false">IF(B75="","",IF(OR(O75="",R75=""),"—",IF(O75&lt;=R75,"⚠ RÉAPPRO","OK")))</f>
        <v/>
      </c>
      <c r="T75" s="50"/>
      <c r="U75" s="50"/>
      <c r="V75" s="50"/>
      <c r="W75" s="50"/>
      <c r="X75" s="50"/>
      <c r="Y75" s="53" t="str">
        <f aca="false">IF(B75="","",IF(X75="","—",IF(X75="Non classé","Non classé",IFERROR(INDEX(RefH_Classe,MATCH(TRIM(LEFT(X75,FIND(",",X75&amp;",")-1)),RefH_Code,0)),"Code H inconnu"))))</f>
        <v/>
      </c>
      <c r="Z75" s="50"/>
      <c r="AA75" s="50"/>
      <c r="AB75" s="51"/>
      <c r="AC75" s="51"/>
      <c r="AD75" s="51"/>
      <c r="AE75" s="51"/>
      <c r="AF75" s="50"/>
      <c r="AG75" s="51"/>
      <c r="AH75" s="54"/>
      <c r="AI75" s="51"/>
      <c r="AJ75" s="55" t="str">
        <f aca="false">IF(AH75="","",EDATE(AH75,60))</f>
        <v/>
      </c>
      <c r="AK75" s="49" t="str">
        <f aca="true">IF(B75="","",IF(OR(AG75="Non",AH75=""),"FDS ABSENTE",IF(TODAY()&gt;=EDATE(AH75,60),"EXPIRÉE",IF(TODAY()&gt;=EDATE(AH75,54),"À RENOUVELER","CONFORME"))))</f>
        <v/>
      </c>
      <c r="AL75" s="50"/>
      <c r="AM75" s="54"/>
      <c r="AN75" s="54"/>
      <c r="AO75" s="50"/>
      <c r="AP75" s="50"/>
      <c r="AQ75" s="50"/>
      <c r="AR75" s="50"/>
      <c r="AS75" s="50"/>
      <c r="AT75" s="50"/>
      <c r="AU75" s="50"/>
      <c r="AV75" s="50"/>
      <c r="AW75" s="52"/>
      <c r="AX75" s="52"/>
      <c r="AY75" s="56" t="str">
        <f aca="false">IF(OR(AW75="",AX75=""),"",AW75*AX75)</f>
        <v/>
      </c>
      <c r="AZ75" s="52"/>
      <c r="BA75" s="56" t="str">
        <f aca="false">IF(AY75="","",IF(AZ75="",AY75,ROUNDUP(AY75/AZ75,0)))</f>
        <v/>
      </c>
      <c r="BB75" s="49" t="str">
        <f aca="false">IF(BA75="","",IF(BA75&gt;=15,"P1 – Critique",IF(BA75&gt;=8,"P2 – Élevée",IF(BA75&gt;=4,"P3 – Modérée","P4 – Faible"))))</f>
        <v/>
      </c>
      <c r="BC75" s="50"/>
      <c r="BD75" s="50"/>
      <c r="BE75" s="54"/>
      <c r="BF75" s="57"/>
      <c r="BG75" s="50"/>
      <c r="BH75" s="54"/>
      <c r="BI75" s="54"/>
      <c r="BJ75" s="50"/>
      <c r="BK75" s="50"/>
    </row>
    <row r="76" customFormat="false" ht="15" hidden="false" customHeight="false" outlineLevel="0" collapsed="false">
      <c r="A76" s="49" t="str">
        <f aca="false">IF(B76="","","PC-"&amp;TEXT(ROW()-2,"000"))</f>
        <v/>
      </c>
      <c r="B76" s="50"/>
      <c r="C76" s="50"/>
      <c r="D76" s="51"/>
      <c r="E76" s="51"/>
      <c r="F76" s="51"/>
      <c r="G76" s="50"/>
      <c r="H76" s="50"/>
      <c r="I76" s="50"/>
      <c r="J76" s="51"/>
      <c r="K76" s="50"/>
      <c r="L76" s="50"/>
      <c r="M76" s="50"/>
      <c r="N76" s="50"/>
      <c r="O76" s="52"/>
      <c r="P76" s="50"/>
      <c r="Q76" s="52"/>
      <c r="R76" s="52"/>
      <c r="S76" s="49" t="str">
        <f aca="false">IF(B76="","",IF(OR(O76="",R76=""),"—",IF(O76&lt;=R76,"⚠ RÉAPPRO","OK")))</f>
        <v/>
      </c>
      <c r="T76" s="50"/>
      <c r="U76" s="50"/>
      <c r="V76" s="50"/>
      <c r="W76" s="50"/>
      <c r="X76" s="50"/>
      <c r="Y76" s="53" t="str">
        <f aca="false">IF(B76="","",IF(X76="","—",IF(X76="Non classé","Non classé",IFERROR(INDEX(RefH_Classe,MATCH(TRIM(LEFT(X76,FIND(",",X76&amp;",")-1)),RefH_Code,0)),"Code H inconnu"))))</f>
        <v/>
      </c>
      <c r="Z76" s="50"/>
      <c r="AA76" s="50"/>
      <c r="AB76" s="51"/>
      <c r="AC76" s="51"/>
      <c r="AD76" s="51"/>
      <c r="AE76" s="51"/>
      <c r="AF76" s="50"/>
      <c r="AG76" s="51"/>
      <c r="AH76" s="54"/>
      <c r="AI76" s="51"/>
      <c r="AJ76" s="55" t="str">
        <f aca="false">IF(AH76="","",EDATE(AH76,60))</f>
        <v/>
      </c>
      <c r="AK76" s="49" t="str">
        <f aca="true">IF(B76="","",IF(OR(AG76="Non",AH76=""),"FDS ABSENTE",IF(TODAY()&gt;=EDATE(AH76,60),"EXPIRÉE",IF(TODAY()&gt;=EDATE(AH76,54),"À RENOUVELER","CONFORME"))))</f>
        <v/>
      </c>
      <c r="AL76" s="50"/>
      <c r="AM76" s="54"/>
      <c r="AN76" s="54"/>
      <c r="AO76" s="50"/>
      <c r="AP76" s="50"/>
      <c r="AQ76" s="50"/>
      <c r="AR76" s="50"/>
      <c r="AS76" s="50"/>
      <c r="AT76" s="50"/>
      <c r="AU76" s="50"/>
      <c r="AV76" s="50"/>
      <c r="AW76" s="52"/>
      <c r="AX76" s="52"/>
      <c r="AY76" s="56" t="str">
        <f aca="false">IF(OR(AW76="",AX76=""),"",AW76*AX76)</f>
        <v/>
      </c>
      <c r="AZ76" s="52"/>
      <c r="BA76" s="56" t="str">
        <f aca="false">IF(AY76="","",IF(AZ76="",AY76,ROUNDUP(AY76/AZ76,0)))</f>
        <v/>
      </c>
      <c r="BB76" s="49" t="str">
        <f aca="false">IF(BA76="","",IF(BA76&gt;=15,"P1 – Critique",IF(BA76&gt;=8,"P2 – Élevée",IF(BA76&gt;=4,"P3 – Modérée","P4 – Faible"))))</f>
        <v/>
      </c>
      <c r="BC76" s="50"/>
      <c r="BD76" s="50"/>
      <c r="BE76" s="54"/>
      <c r="BF76" s="57"/>
      <c r="BG76" s="50"/>
      <c r="BH76" s="54"/>
      <c r="BI76" s="54"/>
      <c r="BJ76" s="50"/>
      <c r="BK76" s="50"/>
    </row>
    <row r="77" customFormat="false" ht="15" hidden="false" customHeight="false" outlineLevel="0" collapsed="false">
      <c r="A77" s="49" t="str">
        <f aca="false">IF(B77="","","PC-"&amp;TEXT(ROW()-2,"000"))</f>
        <v/>
      </c>
      <c r="B77" s="50"/>
      <c r="C77" s="50"/>
      <c r="D77" s="51"/>
      <c r="E77" s="51"/>
      <c r="F77" s="51"/>
      <c r="G77" s="50"/>
      <c r="H77" s="50"/>
      <c r="I77" s="50"/>
      <c r="J77" s="51"/>
      <c r="K77" s="50"/>
      <c r="L77" s="50"/>
      <c r="M77" s="50"/>
      <c r="N77" s="50"/>
      <c r="O77" s="52"/>
      <c r="P77" s="50"/>
      <c r="Q77" s="52"/>
      <c r="R77" s="52"/>
      <c r="S77" s="49" t="str">
        <f aca="false">IF(B77="","",IF(OR(O77="",R77=""),"—",IF(O77&lt;=R77,"⚠ RÉAPPRO","OK")))</f>
        <v/>
      </c>
      <c r="T77" s="50"/>
      <c r="U77" s="50"/>
      <c r="V77" s="50"/>
      <c r="W77" s="50"/>
      <c r="X77" s="50"/>
      <c r="Y77" s="53" t="str">
        <f aca="false">IF(B77="","",IF(X77="","—",IF(X77="Non classé","Non classé",IFERROR(INDEX(RefH_Classe,MATCH(TRIM(LEFT(X77,FIND(",",X77&amp;",")-1)),RefH_Code,0)),"Code H inconnu"))))</f>
        <v/>
      </c>
      <c r="Z77" s="50"/>
      <c r="AA77" s="50"/>
      <c r="AB77" s="51"/>
      <c r="AC77" s="51"/>
      <c r="AD77" s="51"/>
      <c r="AE77" s="51"/>
      <c r="AF77" s="50"/>
      <c r="AG77" s="51"/>
      <c r="AH77" s="54"/>
      <c r="AI77" s="51"/>
      <c r="AJ77" s="55" t="str">
        <f aca="false">IF(AH77="","",EDATE(AH77,60))</f>
        <v/>
      </c>
      <c r="AK77" s="49" t="str">
        <f aca="true">IF(B77="","",IF(OR(AG77="Non",AH77=""),"FDS ABSENTE",IF(TODAY()&gt;=EDATE(AH77,60),"EXPIRÉE",IF(TODAY()&gt;=EDATE(AH77,54),"À RENOUVELER","CONFORME"))))</f>
        <v/>
      </c>
      <c r="AL77" s="50"/>
      <c r="AM77" s="54"/>
      <c r="AN77" s="54"/>
      <c r="AO77" s="50"/>
      <c r="AP77" s="50"/>
      <c r="AQ77" s="50"/>
      <c r="AR77" s="50"/>
      <c r="AS77" s="50"/>
      <c r="AT77" s="50"/>
      <c r="AU77" s="50"/>
      <c r="AV77" s="50"/>
      <c r="AW77" s="52"/>
      <c r="AX77" s="52"/>
      <c r="AY77" s="56" t="str">
        <f aca="false">IF(OR(AW77="",AX77=""),"",AW77*AX77)</f>
        <v/>
      </c>
      <c r="AZ77" s="52"/>
      <c r="BA77" s="56" t="str">
        <f aca="false">IF(AY77="","",IF(AZ77="",AY77,ROUNDUP(AY77/AZ77,0)))</f>
        <v/>
      </c>
      <c r="BB77" s="49" t="str">
        <f aca="false">IF(BA77="","",IF(BA77&gt;=15,"P1 – Critique",IF(BA77&gt;=8,"P2 – Élevée",IF(BA77&gt;=4,"P3 – Modérée","P4 – Faible"))))</f>
        <v/>
      </c>
      <c r="BC77" s="50"/>
      <c r="BD77" s="50"/>
      <c r="BE77" s="54"/>
      <c r="BF77" s="57"/>
      <c r="BG77" s="50"/>
      <c r="BH77" s="54"/>
      <c r="BI77" s="54"/>
      <c r="BJ77" s="50"/>
      <c r="BK77" s="50"/>
    </row>
    <row r="78" customFormat="false" ht="15" hidden="false" customHeight="false" outlineLevel="0" collapsed="false">
      <c r="A78" s="49" t="str">
        <f aca="false">IF(B78="","","PC-"&amp;TEXT(ROW()-2,"000"))</f>
        <v/>
      </c>
      <c r="B78" s="50"/>
      <c r="C78" s="50"/>
      <c r="D78" s="51"/>
      <c r="E78" s="51"/>
      <c r="F78" s="51"/>
      <c r="G78" s="50"/>
      <c r="H78" s="50"/>
      <c r="I78" s="50"/>
      <c r="J78" s="51"/>
      <c r="K78" s="50"/>
      <c r="L78" s="50"/>
      <c r="M78" s="50"/>
      <c r="N78" s="50"/>
      <c r="O78" s="52"/>
      <c r="P78" s="50"/>
      <c r="Q78" s="52"/>
      <c r="R78" s="52"/>
      <c r="S78" s="49" t="str">
        <f aca="false">IF(B78="","",IF(OR(O78="",R78=""),"—",IF(O78&lt;=R78,"⚠ RÉAPPRO","OK")))</f>
        <v/>
      </c>
      <c r="T78" s="50"/>
      <c r="U78" s="50"/>
      <c r="V78" s="50"/>
      <c r="W78" s="50"/>
      <c r="X78" s="50"/>
      <c r="Y78" s="53" t="str">
        <f aca="false">IF(B78="","",IF(X78="","—",IF(X78="Non classé","Non classé",IFERROR(INDEX(RefH_Classe,MATCH(TRIM(LEFT(X78,FIND(",",X78&amp;",")-1)),RefH_Code,0)),"Code H inconnu"))))</f>
        <v/>
      </c>
      <c r="Z78" s="50"/>
      <c r="AA78" s="50"/>
      <c r="AB78" s="51"/>
      <c r="AC78" s="51"/>
      <c r="AD78" s="51"/>
      <c r="AE78" s="51"/>
      <c r="AF78" s="50"/>
      <c r="AG78" s="51"/>
      <c r="AH78" s="54"/>
      <c r="AI78" s="51"/>
      <c r="AJ78" s="55" t="str">
        <f aca="false">IF(AH78="","",EDATE(AH78,60))</f>
        <v/>
      </c>
      <c r="AK78" s="49" t="str">
        <f aca="true">IF(B78="","",IF(OR(AG78="Non",AH78=""),"FDS ABSENTE",IF(TODAY()&gt;=EDATE(AH78,60),"EXPIRÉE",IF(TODAY()&gt;=EDATE(AH78,54),"À RENOUVELER","CONFORME"))))</f>
        <v/>
      </c>
      <c r="AL78" s="50"/>
      <c r="AM78" s="54"/>
      <c r="AN78" s="54"/>
      <c r="AO78" s="50"/>
      <c r="AP78" s="50"/>
      <c r="AQ78" s="50"/>
      <c r="AR78" s="50"/>
      <c r="AS78" s="50"/>
      <c r="AT78" s="50"/>
      <c r="AU78" s="50"/>
      <c r="AV78" s="50"/>
      <c r="AW78" s="52"/>
      <c r="AX78" s="52"/>
      <c r="AY78" s="56" t="str">
        <f aca="false">IF(OR(AW78="",AX78=""),"",AW78*AX78)</f>
        <v/>
      </c>
      <c r="AZ78" s="52"/>
      <c r="BA78" s="56" t="str">
        <f aca="false">IF(AY78="","",IF(AZ78="",AY78,ROUNDUP(AY78/AZ78,0)))</f>
        <v/>
      </c>
      <c r="BB78" s="49" t="str">
        <f aca="false">IF(BA78="","",IF(BA78&gt;=15,"P1 – Critique",IF(BA78&gt;=8,"P2 – Élevée",IF(BA78&gt;=4,"P3 – Modérée","P4 – Faible"))))</f>
        <v/>
      </c>
      <c r="BC78" s="50"/>
      <c r="BD78" s="50"/>
      <c r="BE78" s="54"/>
      <c r="BF78" s="57"/>
      <c r="BG78" s="50"/>
      <c r="BH78" s="54"/>
      <c r="BI78" s="54"/>
      <c r="BJ78" s="50"/>
      <c r="BK78" s="50"/>
    </row>
    <row r="79" customFormat="false" ht="15" hidden="false" customHeight="false" outlineLevel="0" collapsed="false">
      <c r="A79" s="49" t="str">
        <f aca="false">IF(B79="","","PC-"&amp;TEXT(ROW()-2,"000"))</f>
        <v/>
      </c>
      <c r="B79" s="50"/>
      <c r="C79" s="50"/>
      <c r="D79" s="51"/>
      <c r="E79" s="51"/>
      <c r="F79" s="51"/>
      <c r="G79" s="50"/>
      <c r="H79" s="50"/>
      <c r="I79" s="50"/>
      <c r="J79" s="51"/>
      <c r="K79" s="50"/>
      <c r="L79" s="50"/>
      <c r="M79" s="50"/>
      <c r="N79" s="50"/>
      <c r="O79" s="52"/>
      <c r="P79" s="50"/>
      <c r="Q79" s="52"/>
      <c r="R79" s="52"/>
      <c r="S79" s="49" t="str">
        <f aca="false">IF(B79="","",IF(OR(O79="",R79=""),"—",IF(O79&lt;=R79,"⚠ RÉAPPRO","OK")))</f>
        <v/>
      </c>
      <c r="T79" s="50"/>
      <c r="U79" s="50"/>
      <c r="V79" s="50"/>
      <c r="W79" s="50"/>
      <c r="X79" s="50"/>
      <c r="Y79" s="53" t="str">
        <f aca="false">IF(B79="","",IF(X79="","—",IF(X79="Non classé","Non classé",IFERROR(INDEX(RefH_Classe,MATCH(TRIM(LEFT(X79,FIND(",",X79&amp;",")-1)),RefH_Code,0)),"Code H inconnu"))))</f>
        <v/>
      </c>
      <c r="Z79" s="50"/>
      <c r="AA79" s="50"/>
      <c r="AB79" s="51"/>
      <c r="AC79" s="51"/>
      <c r="AD79" s="51"/>
      <c r="AE79" s="51"/>
      <c r="AF79" s="50"/>
      <c r="AG79" s="51"/>
      <c r="AH79" s="54"/>
      <c r="AI79" s="51"/>
      <c r="AJ79" s="55" t="str">
        <f aca="false">IF(AH79="","",EDATE(AH79,60))</f>
        <v/>
      </c>
      <c r="AK79" s="49" t="str">
        <f aca="true">IF(B79="","",IF(OR(AG79="Non",AH79=""),"FDS ABSENTE",IF(TODAY()&gt;=EDATE(AH79,60),"EXPIRÉE",IF(TODAY()&gt;=EDATE(AH79,54),"À RENOUVELER","CONFORME"))))</f>
        <v/>
      </c>
      <c r="AL79" s="50"/>
      <c r="AM79" s="54"/>
      <c r="AN79" s="54"/>
      <c r="AO79" s="50"/>
      <c r="AP79" s="50"/>
      <c r="AQ79" s="50"/>
      <c r="AR79" s="50"/>
      <c r="AS79" s="50"/>
      <c r="AT79" s="50"/>
      <c r="AU79" s="50"/>
      <c r="AV79" s="50"/>
      <c r="AW79" s="52"/>
      <c r="AX79" s="52"/>
      <c r="AY79" s="56" t="str">
        <f aca="false">IF(OR(AW79="",AX79=""),"",AW79*AX79)</f>
        <v/>
      </c>
      <c r="AZ79" s="52"/>
      <c r="BA79" s="56" t="str">
        <f aca="false">IF(AY79="","",IF(AZ79="",AY79,ROUNDUP(AY79/AZ79,0)))</f>
        <v/>
      </c>
      <c r="BB79" s="49" t="str">
        <f aca="false">IF(BA79="","",IF(BA79&gt;=15,"P1 – Critique",IF(BA79&gt;=8,"P2 – Élevée",IF(BA79&gt;=4,"P3 – Modérée","P4 – Faible"))))</f>
        <v/>
      </c>
      <c r="BC79" s="50"/>
      <c r="BD79" s="50"/>
      <c r="BE79" s="54"/>
      <c r="BF79" s="57"/>
      <c r="BG79" s="50"/>
      <c r="BH79" s="54"/>
      <c r="BI79" s="54"/>
      <c r="BJ79" s="50"/>
      <c r="BK79" s="50"/>
    </row>
    <row r="80" customFormat="false" ht="15" hidden="false" customHeight="false" outlineLevel="0" collapsed="false">
      <c r="A80" s="49" t="str">
        <f aca="false">IF(B80="","","PC-"&amp;TEXT(ROW()-2,"000"))</f>
        <v/>
      </c>
      <c r="B80" s="50"/>
      <c r="C80" s="50"/>
      <c r="D80" s="51"/>
      <c r="E80" s="51"/>
      <c r="F80" s="51"/>
      <c r="G80" s="50"/>
      <c r="H80" s="50"/>
      <c r="I80" s="50"/>
      <c r="J80" s="51"/>
      <c r="K80" s="50"/>
      <c r="L80" s="50"/>
      <c r="M80" s="50"/>
      <c r="N80" s="50"/>
      <c r="O80" s="52"/>
      <c r="P80" s="50"/>
      <c r="Q80" s="52"/>
      <c r="R80" s="52"/>
      <c r="S80" s="49" t="str">
        <f aca="false">IF(B80="","",IF(OR(O80="",R80=""),"—",IF(O80&lt;=R80,"⚠ RÉAPPRO","OK")))</f>
        <v/>
      </c>
      <c r="T80" s="50"/>
      <c r="U80" s="50"/>
      <c r="V80" s="50"/>
      <c r="W80" s="50"/>
      <c r="X80" s="50"/>
      <c r="Y80" s="53" t="str">
        <f aca="false">IF(B80="","",IF(X80="","—",IF(X80="Non classé","Non classé",IFERROR(INDEX(RefH_Classe,MATCH(TRIM(LEFT(X80,FIND(",",X80&amp;",")-1)),RefH_Code,0)),"Code H inconnu"))))</f>
        <v/>
      </c>
      <c r="Z80" s="50"/>
      <c r="AA80" s="50"/>
      <c r="AB80" s="51"/>
      <c r="AC80" s="51"/>
      <c r="AD80" s="51"/>
      <c r="AE80" s="51"/>
      <c r="AF80" s="50"/>
      <c r="AG80" s="51"/>
      <c r="AH80" s="54"/>
      <c r="AI80" s="51"/>
      <c r="AJ80" s="55" t="str">
        <f aca="false">IF(AH80="","",EDATE(AH80,60))</f>
        <v/>
      </c>
      <c r="AK80" s="49" t="str">
        <f aca="true">IF(B80="","",IF(OR(AG80="Non",AH80=""),"FDS ABSENTE",IF(TODAY()&gt;=EDATE(AH80,60),"EXPIRÉE",IF(TODAY()&gt;=EDATE(AH80,54),"À RENOUVELER","CONFORME"))))</f>
        <v/>
      </c>
      <c r="AL80" s="50"/>
      <c r="AM80" s="54"/>
      <c r="AN80" s="54"/>
      <c r="AO80" s="50"/>
      <c r="AP80" s="50"/>
      <c r="AQ80" s="50"/>
      <c r="AR80" s="50"/>
      <c r="AS80" s="50"/>
      <c r="AT80" s="50"/>
      <c r="AU80" s="50"/>
      <c r="AV80" s="50"/>
      <c r="AW80" s="52"/>
      <c r="AX80" s="52"/>
      <c r="AY80" s="56" t="str">
        <f aca="false">IF(OR(AW80="",AX80=""),"",AW80*AX80)</f>
        <v/>
      </c>
      <c r="AZ80" s="52"/>
      <c r="BA80" s="56" t="str">
        <f aca="false">IF(AY80="","",IF(AZ80="",AY80,ROUNDUP(AY80/AZ80,0)))</f>
        <v/>
      </c>
      <c r="BB80" s="49" t="str">
        <f aca="false">IF(BA80="","",IF(BA80&gt;=15,"P1 – Critique",IF(BA80&gt;=8,"P2 – Élevée",IF(BA80&gt;=4,"P3 – Modérée","P4 – Faible"))))</f>
        <v/>
      </c>
      <c r="BC80" s="50"/>
      <c r="BD80" s="50"/>
      <c r="BE80" s="54"/>
      <c r="BF80" s="57"/>
      <c r="BG80" s="50"/>
      <c r="BH80" s="54"/>
      <c r="BI80" s="54"/>
      <c r="BJ80" s="50"/>
      <c r="BK80" s="50"/>
    </row>
    <row r="81" customFormat="false" ht="15" hidden="false" customHeight="false" outlineLevel="0" collapsed="false">
      <c r="A81" s="49" t="str">
        <f aca="false">IF(B81="","","PC-"&amp;TEXT(ROW()-2,"000"))</f>
        <v/>
      </c>
      <c r="B81" s="50"/>
      <c r="C81" s="50"/>
      <c r="D81" s="51"/>
      <c r="E81" s="51"/>
      <c r="F81" s="51"/>
      <c r="G81" s="50"/>
      <c r="H81" s="50"/>
      <c r="I81" s="50"/>
      <c r="J81" s="51"/>
      <c r="K81" s="50"/>
      <c r="L81" s="50"/>
      <c r="M81" s="50"/>
      <c r="N81" s="50"/>
      <c r="O81" s="52"/>
      <c r="P81" s="50"/>
      <c r="Q81" s="52"/>
      <c r="R81" s="52"/>
      <c r="S81" s="49" t="str">
        <f aca="false">IF(B81="","",IF(OR(O81="",R81=""),"—",IF(O81&lt;=R81,"⚠ RÉAPPRO","OK")))</f>
        <v/>
      </c>
      <c r="T81" s="50"/>
      <c r="U81" s="50"/>
      <c r="V81" s="50"/>
      <c r="W81" s="50"/>
      <c r="X81" s="50"/>
      <c r="Y81" s="53" t="str">
        <f aca="false">IF(B81="","",IF(X81="","—",IF(X81="Non classé","Non classé",IFERROR(INDEX(RefH_Classe,MATCH(TRIM(LEFT(X81,FIND(",",X81&amp;",")-1)),RefH_Code,0)),"Code H inconnu"))))</f>
        <v/>
      </c>
      <c r="Z81" s="50"/>
      <c r="AA81" s="50"/>
      <c r="AB81" s="51"/>
      <c r="AC81" s="51"/>
      <c r="AD81" s="51"/>
      <c r="AE81" s="51"/>
      <c r="AF81" s="50"/>
      <c r="AG81" s="51"/>
      <c r="AH81" s="54"/>
      <c r="AI81" s="51"/>
      <c r="AJ81" s="55" t="str">
        <f aca="false">IF(AH81="","",EDATE(AH81,60))</f>
        <v/>
      </c>
      <c r="AK81" s="49" t="str">
        <f aca="true">IF(B81="","",IF(OR(AG81="Non",AH81=""),"FDS ABSENTE",IF(TODAY()&gt;=EDATE(AH81,60),"EXPIRÉE",IF(TODAY()&gt;=EDATE(AH81,54),"À RENOUVELER","CONFORME"))))</f>
        <v/>
      </c>
      <c r="AL81" s="50"/>
      <c r="AM81" s="54"/>
      <c r="AN81" s="54"/>
      <c r="AO81" s="50"/>
      <c r="AP81" s="50"/>
      <c r="AQ81" s="50"/>
      <c r="AR81" s="50"/>
      <c r="AS81" s="50"/>
      <c r="AT81" s="50"/>
      <c r="AU81" s="50"/>
      <c r="AV81" s="50"/>
      <c r="AW81" s="52"/>
      <c r="AX81" s="52"/>
      <c r="AY81" s="56" t="str">
        <f aca="false">IF(OR(AW81="",AX81=""),"",AW81*AX81)</f>
        <v/>
      </c>
      <c r="AZ81" s="52"/>
      <c r="BA81" s="56" t="str">
        <f aca="false">IF(AY81="","",IF(AZ81="",AY81,ROUNDUP(AY81/AZ81,0)))</f>
        <v/>
      </c>
      <c r="BB81" s="49" t="str">
        <f aca="false">IF(BA81="","",IF(BA81&gt;=15,"P1 – Critique",IF(BA81&gt;=8,"P2 – Élevée",IF(BA81&gt;=4,"P3 – Modérée","P4 – Faible"))))</f>
        <v/>
      </c>
      <c r="BC81" s="50"/>
      <c r="BD81" s="50"/>
      <c r="BE81" s="54"/>
      <c r="BF81" s="57"/>
      <c r="BG81" s="50"/>
      <c r="BH81" s="54"/>
      <c r="BI81" s="54"/>
      <c r="BJ81" s="50"/>
      <c r="BK81" s="50"/>
    </row>
    <row r="82" customFormat="false" ht="15" hidden="false" customHeight="false" outlineLevel="0" collapsed="false">
      <c r="A82" s="49" t="str">
        <f aca="false">IF(B82="","","PC-"&amp;TEXT(ROW()-2,"000"))</f>
        <v/>
      </c>
      <c r="B82" s="50"/>
      <c r="C82" s="50"/>
      <c r="D82" s="51"/>
      <c r="E82" s="51"/>
      <c r="F82" s="51"/>
      <c r="G82" s="50"/>
      <c r="H82" s="50"/>
      <c r="I82" s="50"/>
      <c r="J82" s="51"/>
      <c r="K82" s="50"/>
      <c r="L82" s="50"/>
      <c r="M82" s="50"/>
      <c r="N82" s="50"/>
      <c r="O82" s="52"/>
      <c r="P82" s="50"/>
      <c r="Q82" s="52"/>
      <c r="R82" s="52"/>
      <c r="S82" s="49" t="str">
        <f aca="false">IF(B82="","",IF(OR(O82="",R82=""),"—",IF(O82&lt;=R82,"⚠ RÉAPPRO","OK")))</f>
        <v/>
      </c>
      <c r="T82" s="50"/>
      <c r="U82" s="50"/>
      <c r="V82" s="50"/>
      <c r="W82" s="50"/>
      <c r="X82" s="50"/>
      <c r="Y82" s="53" t="str">
        <f aca="false">IF(B82="","",IF(X82="","—",IF(X82="Non classé","Non classé",IFERROR(INDEX(RefH_Classe,MATCH(TRIM(LEFT(X82,FIND(",",X82&amp;",")-1)),RefH_Code,0)),"Code H inconnu"))))</f>
        <v/>
      </c>
      <c r="Z82" s="50"/>
      <c r="AA82" s="50"/>
      <c r="AB82" s="51"/>
      <c r="AC82" s="51"/>
      <c r="AD82" s="51"/>
      <c r="AE82" s="51"/>
      <c r="AF82" s="50"/>
      <c r="AG82" s="51"/>
      <c r="AH82" s="54"/>
      <c r="AI82" s="51"/>
      <c r="AJ82" s="55" t="str">
        <f aca="false">IF(AH82="","",EDATE(AH82,60))</f>
        <v/>
      </c>
      <c r="AK82" s="49" t="str">
        <f aca="true">IF(B82="","",IF(OR(AG82="Non",AH82=""),"FDS ABSENTE",IF(TODAY()&gt;=EDATE(AH82,60),"EXPIRÉE",IF(TODAY()&gt;=EDATE(AH82,54),"À RENOUVELER","CONFORME"))))</f>
        <v/>
      </c>
      <c r="AL82" s="50"/>
      <c r="AM82" s="54"/>
      <c r="AN82" s="54"/>
      <c r="AO82" s="50"/>
      <c r="AP82" s="50"/>
      <c r="AQ82" s="50"/>
      <c r="AR82" s="50"/>
      <c r="AS82" s="50"/>
      <c r="AT82" s="50"/>
      <c r="AU82" s="50"/>
      <c r="AV82" s="50"/>
      <c r="AW82" s="52"/>
      <c r="AX82" s="52"/>
      <c r="AY82" s="56" t="str">
        <f aca="false">IF(OR(AW82="",AX82=""),"",AW82*AX82)</f>
        <v/>
      </c>
      <c r="AZ82" s="52"/>
      <c r="BA82" s="56" t="str">
        <f aca="false">IF(AY82="","",IF(AZ82="",AY82,ROUNDUP(AY82/AZ82,0)))</f>
        <v/>
      </c>
      <c r="BB82" s="49" t="str">
        <f aca="false">IF(BA82="","",IF(BA82&gt;=15,"P1 – Critique",IF(BA82&gt;=8,"P2 – Élevée",IF(BA82&gt;=4,"P3 – Modérée","P4 – Faible"))))</f>
        <v/>
      </c>
      <c r="BC82" s="50"/>
      <c r="BD82" s="50"/>
      <c r="BE82" s="54"/>
      <c r="BF82" s="57"/>
      <c r="BG82" s="50"/>
      <c r="BH82" s="54"/>
      <c r="BI82" s="54"/>
      <c r="BJ82" s="50"/>
      <c r="BK82" s="50"/>
    </row>
    <row r="83" customFormat="false" ht="15" hidden="false" customHeight="false" outlineLevel="0" collapsed="false">
      <c r="A83" s="49" t="str">
        <f aca="false">IF(B83="","","PC-"&amp;TEXT(ROW()-2,"000"))</f>
        <v/>
      </c>
      <c r="B83" s="50"/>
      <c r="C83" s="50"/>
      <c r="D83" s="51"/>
      <c r="E83" s="51"/>
      <c r="F83" s="51"/>
      <c r="G83" s="50"/>
      <c r="H83" s="50"/>
      <c r="I83" s="50"/>
      <c r="J83" s="51"/>
      <c r="K83" s="50"/>
      <c r="L83" s="50"/>
      <c r="M83" s="50"/>
      <c r="N83" s="50"/>
      <c r="O83" s="52"/>
      <c r="P83" s="50"/>
      <c r="Q83" s="52"/>
      <c r="R83" s="52"/>
      <c r="S83" s="49" t="str">
        <f aca="false">IF(B83="","",IF(OR(O83="",R83=""),"—",IF(O83&lt;=R83,"⚠ RÉAPPRO","OK")))</f>
        <v/>
      </c>
      <c r="T83" s="50"/>
      <c r="U83" s="50"/>
      <c r="V83" s="50"/>
      <c r="W83" s="50"/>
      <c r="X83" s="50"/>
      <c r="Y83" s="53" t="str">
        <f aca="false">IF(B83="","",IF(X83="","—",IF(X83="Non classé","Non classé",IFERROR(INDEX(RefH_Classe,MATCH(TRIM(LEFT(X83,FIND(",",X83&amp;",")-1)),RefH_Code,0)),"Code H inconnu"))))</f>
        <v/>
      </c>
      <c r="Z83" s="50"/>
      <c r="AA83" s="50"/>
      <c r="AB83" s="51"/>
      <c r="AC83" s="51"/>
      <c r="AD83" s="51"/>
      <c r="AE83" s="51"/>
      <c r="AF83" s="50"/>
      <c r="AG83" s="51"/>
      <c r="AH83" s="54"/>
      <c r="AI83" s="51"/>
      <c r="AJ83" s="55" t="str">
        <f aca="false">IF(AH83="","",EDATE(AH83,60))</f>
        <v/>
      </c>
      <c r="AK83" s="49" t="str">
        <f aca="true">IF(B83="","",IF(OR(AG83="Non",AH83=""),"FDS ABSENTE",IF(TODAY()&gt;=EDATE(AH83,60),"EXPIRÉE",IF(TODAY()&gt;=EDATE(AH83,54),"À RENOUVELER","CONFORME"))))</f>
        <v/>
      </c>
      <c r="AL83" s="50"/>
      <c r="AM83" s="54"/>
      <c r="AN83" s="54"/>
      <c r="AO83" s="50"/>
      <c r="AP83" s="50"/>
      <c r="AQ83" s="50"/>
      <c r="AR83" s="50"/>
      <c r="AS83" s="50"/>
      <c r="AT83" s="50"/>
      <c r="AU83" s="50"/>
      <c r="AV83" s="50"/>
      <c r="AW83" s="52"/>
      <c r="AX83" s="52"/>
      <c r="AY83" s="56" t="str">
        <f aca="false">IF(OR(AW83="",AX83=""),"",AW83*AX83)</f>
        <v/>
      </c>
      <c r="AZ83" s="52"/>
      <c r="BA83" s="56" t="str">
        <f aca="false">IF(AY83="","",IF(AZ83="",AY83,ROUNDUP(AY83/AZ83,0)))</f>
        <v/>
      </c>
      <c r="BB83" s="49" t="str">
        <f aca="false">IF(BA83="","",IF(BA83&gt;=15,"P1 – Critique",IF(BA83&gt;=8,"P2 – Élevée",IF(BA83&gt;=4,"P3 – Modérée","P4 – Faible"))))</f>
        <v/>
      </c>
      <c r="BC83" s="50"/>
      <c r="BD83" s="50"/>
      <c r="BE83" s="54"/>
      <c r="BF83" s="57"/>
      <c r="BG83" s="50"/>
      <c r="BH83" s="54"/>
      <c r="BI83" s="54"/>
      <c r="BJ83" s="50"/>
      <c r="BK83" s="50"/>
    </row>
    <row r="84" customFormat="false" ht="15" hidden="false" customHeight="false" outlineLevel="0" collapsed="false">
      <c r="A84" s="49" t="str">
        <f aca="false">IF(B84="","","PC-"&amp;TEXT(ROW()-2,"000"))</f>
        <v/>
      </c>
      <c r="B84" s="50"/>
      <c r="C84" s="50"/>
      <c r="D84" s="51"/>
      <c r="E84" s="51"/>
      <c r="F84" s="51"/>
      <c r="G84" s="50"/>
      <c r="H84" s="50"/>
      <c r="I84" s="50"/>
      <c r="J84" s="51"/>
      <c r="K84" s="50"/>
      <c r="L84" s="50"/>
      <c r="M84" s="50"/>
      <c r="N84" s="50"/>
      <c r="O84" s="52"/>
      <c r="P84" s="50"/>
      <c r="Q84" s="52"/>
      <c r="R84" s="52"/>
      <c r="S84" s="49" t="str">
        <f aca="false">IF(B84="","",IF(OR(O84="",R84=""),"—",IF(O84&lt;=R84,"⚠ RÉAPPRO","OK")))</f>
        <v/>
      </c>
      <c r="T84" s="50"/>
      <c r="U84" s="50"/>
      <c r="V84" s="50"/>
      <c r="W84" s="50"/>
      <c r="X84" s="50"/>
      <c r="Y84" s="53" t="str">
        <f aca="false">IF(B84="","",IF(X84="","—",IF(X84="Non classé","Non classé",IFERROR(INDEX(RefH_Classe,MATCH(TRIM(LEFT(X84,FIND(",",X84&amp;",")-1)),RefH_Code,0)),"Code H inconnu"))))</f>
        <v/>
      </c>
      <c r="Z84" s="50"/>
      <c r="AA84" s="50"/>
      <c r="AB84" s="51"/>
      <c r="AC84" s="51"/>
      <c r="AD84" s="51"/>
      <c r="AE84" s="51"/>
      <c r="AF84" s="50"/>
      <c r="AG84" s="51"/>
      <c r="AH84" s="54"/>
      <c r="AI84" s="51"/>
      <c r="AJ84" s="55" t="str">
        <f aca="false">IF(AH84="","",EDATE(AH84,60))</f>
        <v/>
      </c>
      <c r="AK84" s="49" t="str">
        <f aca="true">IF(B84="","",IF(OR(AG84="Non",AH84=""),"FDS ABSENTE",IF(TODAY()&gt;=EDATE(AH84,60),"EXPIRÉE",IF(TODAY()&gt;=EDATE(AH84,54),"À RENOUVELER","CONFORME"))))</f>
        <v/>
      </c>
      <c r="AL84" s="50"/>
      <c r="AM84" s="54"/>
      <c r="AN84" s="54"/>
      <c r="AO84" s="50"/>
      <c r="AP84" s="50"/>
      <c r="AQ84" s="50"/>
      <c r="AR84" s="50"/>
      <c r="AS84" s="50"/>
      <c r="AT84" s="50"/>
      <c r="AU84" s="50"/>
      <c r="AV84" s="50"/>
      <c r="AW84" s="52"/>
      <c r="AX84" s="52"/>
      <c r="AY84" s="56" t="str">
        <f aca="false">IF(OR(AW84="",AX84=""),"",AW84*AX84)</f>
        <v/>
      </c>
      <c r="AZ84" s="52"/>
      <c r="BA84" s="56" t="str">
        <f aca="false">IF(AY84="","",IF(AZ84="",AY84,ROUNDUP(AY84/AZ84,0)))</f>
        <v/>
      </c>
      <c r="BB84" s="49" t="str">
        <f aca="false">IF(BA84="","",IF(BA84&gt;=15,"P1 – Critique",IF(BA84&gt;=8,"P2 – Élevée",IF(BA84&gt;=4,"P3 – Modérée","P4 – Faible"))))</f>
        <v/>
      </c>
      <c r="BC84" s="50"/>
      <c r="BD84" s="50"/>
      <c r="BE84" s="54"/>
      <c r="BF84" s="57"/>
      <c r="BG84" s="50"/>
      <c r="BH84" s="54"/>
      <c r="BI84" s="54"/>
      <c r="BJ84" s="50"/>
      <c r="BK84" s="50"/>
    </row>
    <row r="85" customFormat="false" ht="15" hidden="false" customHeight="false" outlineLevel="0" collapsed="false">
      <c r="A85" s="49" t="str">
        <f aca="false">IF(B85="","","PC-"&amp;TEXT(ROW()-2,"000"))</f>
        <v/>
      </c>
      <c r="B85" s="50"/>
      <c r="C85" s="50"/>
      <c r="D85" s="51"/>
      <c r="E85" s="51"/>
      <c r="F85" s="51"/>
      <c r="G85" s="50"/>
      <c r="H85" s="50"/>
      <c r="I85" s="50"/>
      <c r="J85" s="51"/>
      <c r="K85" s="50"/>
      <c r="L85" s="50"/>
      <c r="M85" s="50"/>
      <c r="N85" s="50"/>
      <c r="O85" s="52"/>
      <c r="P85" s="50"/>
      <c r="Q85" s="52"/>
      <c r="R85" s="52"/>
      <c r="S85" s="49" t="str">
        <f aca="false">IF(B85="","",IF(OR(O85="",R85=""),"—",IF(O85&lt;=R85,"⚠ RÉAPPRO","OK")))</f>
        <v/>
      </c>
      <c r="T85" s="50"/>
      <c r="U85" s="50"/>
      <c r="V85" s="50"/>
      <c r="W85" s="50"/>
      <c r="X85" s="50"/>
      <c r="Y85" s="53" t="str">
        <f aca="false">IF(B85="","",IF(X85="","—",IF(X85="Non classé","Non classé",IFERROR(INDEX(RefH_Classe,MATCH(TRIM(LEFT(X85,FIND(",",X85&amp;",")-1)),RefH_Code,0)),"Code H inconnu"))))</f>
        <v/>
      </c>
      <c r="Z85" s="50"/>
      <c r="AA85" s="50"/>
      <c r="AB85" s="51"/>
      <c r="AC85" s="51"/>
      <c r="AD85" s="51"/>
      <c r="AE85" s="51"/>
      <c r="AF85" s="50"/>
      <c r="AG85" s="51"/>
      <c r="AH85" s="54"/>
      <c r="AI85" s="51"/>
      <c r="AJ85" s="55" t="str">
        <f aca="false">IF(AH85="","",EDATE(AH85,60))</f>
        <v/>
      </c>
      <c r="AK85" s="49" t="str">
        <f aca="true">IF(B85="","",IF(OR(AG85="Non",AH85=""),"FDS ABSENTE",IF(TODAY()&gt;=EDATE(AH85,60),"EXPIRÉE",IF(TODAY()&gt;=EDATE(AH85,54),"À RENOUVELER","CONFORME"))))</f>
        <v/>
      </c>
      <c r="AL85" s="50"/>
      <c r="AM85" s="54"/>
      <c r="AN85" s="54"/>
      <c r="AO85" s="50"/>
      <c r="AP85" s="50"/>
      <c r="AQ85" s="50"/>
      <c r="AR85" s="50"/>
      <c r="AS85" s="50"/>
      <c r="AT85" s="50"/>
      <c r="AU85" s="50"/>
      <c r="AV85" s="50"/>
      <c r="AW85" s="52"/>
      <c r="AX85" s="52"/>
      <c r="AY85" s="56" t="str">
        <f aca="false">IF(OR(AW85="",AX85=""),"",AW85*AX85)</f>
        <v/>
      </c>
      <c r="AZ85" s="52"/>
      <c r="BA85" s="56" t="str">
        <f aca="false">IF(AY85="","",IF(AZ85="",AY85,ROUNDUP(AY85/AZ85,0)))</f>
        <v/>
      </c>
      <c r="BB85" s="49" t="str">
        <f aca="false">IF(BA85="","",IF(BA85&gt;=15,"P1 – Critique",IF(BA85&gt;=8,"P2 – Élevée",IF(BA85&gt;=4,"P3 – Modérée","P4 – Faible"))))</f>
        <v/>
      </c>
      <c r="BC85" s="50"/>
      <c r="BD85" s="50"/>
      <c r="BE85" s="54"/>
      <c r="BF85" s="57"/>
      <c r="BG85" s="50"/>
      <c r="BH85" s="54"/>
      <c r="BI85" s="54"/>
      <c r="BJ85" s="50"/>
      <c r="BK85" s="50"/>
    </row>
    <row r="86" customFormat="false" ht="15" hidden="false" customHeight="false" outlineLevel="0" collapsed="false">
      <c r="A86" s="49" t="str">
        <f aca="false">IF(B86="","","PC-"&amp;TEXT(ROW()-2,"000"))</f>
        <v/>
      </c>
      <c r="B86" s="50"/>
      <c r="C86" s="50"/>
      <c r="D86" s="51"/>
      <c r="E86" s="51"/>
      <c r="F86" s="51"/>
      <c r="G86" s="50"/>
      <c r="H86" s="50"/>
      <c r="I86" s="50"/>
      <c r="J86" s="51"/>
      <c r="K86" s="50"/>
      <c r="L86" s="50"/>
      <c r="M86" s="50"/>
      <c r="N86" s="50"/>
      <c r="O86" s="52"/>
      <c r="P86" s="50"/>
      <c r="Q86" s="52"/>
      <c r="R86" s="52"/>
      <c r="S86" s="49" t="str">
        <f aca="false">IF(B86="","",IF(OR(O86="",R86=""),"—",IF(O86&lt;=R86,"⚠ RÉAPPRO","OK")))</f>
        <v/>
      </c>
      <c r="T86" s="50"/>
      <c r="U86" s="50"/>
      <c r="V86" s="50"/>
      <c r="W86" s="50"/>
      <c r="X86" s="50"/>
      <c r="Y86" s="53" t="str">
        <f aca="false">IF(B86="","",IF(X86="","—",IF(X86="Non classé","Non classé",IFERROR(INDEX(RefH_Classe,MATCH(TRIM(LEFT(X86,FIND(",",X86&amp;",")-1)),RefH_Code,0)),"Code H inconnu"))))</f>
        <v/>
      </c>
      <c r="Z86" s="50"/>
      <c r="AA86" s="50"/>
      <c r="AB86" s="51"/>
      <c r="AC86" s="51"/>
      <c r="AD86" s="51"/>
      <c r="AE86" s="51"/>
      <c r="AF86" s="50"/>
      <c r="AG86" s="51"/>
      <c r="AH86" s="54"/>
      <c r="AI86" s="51"/>
      <c r="AJ86" s="55" t="str">
        <f aca="false">IF(AH86="","",EDATE(AH86,60))</f>
        <v/>
      </c>
      <c r="AK86" s="49" t="str">
        <f aca="true">IF(B86="","",IF(OR(AG86="Non",AH86=""),"FDS ABSENTE",IF(TODAY()&gt;=EDATE(AH86,60),"EXPIRÉE",IF(TODAY()&gt;=EDATE(AH86,54),"À RENOUVELER","CONFORME"))))</f>
        <v/>
      </c>
      <c r="AL86" s="50"/>
      <c r="AM86" s="54"/>
      <c r="AN86" s="54"/>
      <c r="AO86" s="50"/>
      <c r="AP86" s="50"/>
      <c r="AQ86" s="50"/>
      <c r="AR86" s="50"/>
      <c r="AS86" s="50"/>
      <c r="AT86" s="50"/>
      <c r="AU86" s="50"/>
      <c r="AV86" s="50"/>
      <c r="AW86" s="52"/>
      <c r="AX86" s="52"/>
      <c r="AY86" s="56" t="str">
        <f aca="false">IF(OR(AW86="",AX86=""),"",AW86*AX86)</f>
        <v/>
      </c>
      <c r="AZ86" s="52"/>
      <c r="BA86" s="56" t="str">
        <f aca="false">IF(AY86="","",IF(AZ86="",AY86,ROUNDUP(AY86/AZ86,0)))</f>
        <v/>
      </c>
      <c r="BB86" s="49" t="str">
        <f aca="false">IF(BA86="","",IF(BA86&gt;=15,"P1 – Critique",IF(BA86&gt;=8,"P2 – Élevée",IF(BA86&gt;=4,"P3 – Modérée","P4 – Faible"))))</f>
        <v/>
      </c>
      <c r="BC86" s="50"/>
      <c r="BD86" s="50"/>
      <c r="BE86" s="54"/>
      <c r="BF86" s="57"/>
      <c r="BG86" s="50"/>
      <c r="BH86" s="54"/>
      <c r="BI86" s="54"/>
      <c r="BJ86" s="50"/>
      <c r="BK86" s="50"/>
    </row>
    <row r="87" customFormat="false" ht="15" hidden="false" customHeight="false" outlineLevel="0" collapsed="false">
      <c r="A87" s="49" t="str">
        <f aca="false">IF(B87="","","PC-"&amp;TEXT(ROW()-2,"000"))</f>
        <v/>
      </c>
      <c r="B87" s="50"/>
      <c r="C87" s="50"/>
      <c r="D87" s="51"/>
      <c r="E87" s="51"/>
      <c r="F87" s="51"/>
      <c r="G87" s="50"/>
      <c r="H87" s="50"/>
      <c r="I87" s="50"/>
      <c r="J87" s="51"/>
      <c r="K87" s="50"/>
      <c r="L87" s="50"/>
      <c r="M87" s="50"/>
      <c r="N87" s="50"/>
      <c r="O87" s="52"/>
      <c r="P87" s="50"/>
      <c r="Q87" s="52"/>
      <c r="R87" s="52"/>
      <c r="S87" s="49" t="str">
        <f aca="false">IF(B87="","",IF(OR(O87="",R87=""),"—",IF(O87&lt;=R87,"⚠ RÉAPPRO","OK")))</f>
        <v/>
      </c>
      <c r="T87" s="50"/>
      <c r="U87" s="50"/>
      <c r="V87" s="50"/>
      <c r="W87" s="50"/>
      <c r="X87" s="50"/>
      <c r="Y87" s="53" t="str">
        <f aca="false">IF(B87="","",IF(X87="","—",IF(X87="Non classé","Non classé",IFERROR(INDEX(RefH_Classe,MATCH(TRIM(LEFT(X87,FIND(",",X87&amp;",")-1)),RefH_Code,0)),"Code H inconnu"))))</f>
        <v/>
      </c>
      <c r="Z87" s="50"/>
      <c r="AA87" s="50"/>
      <c r="AB87" s="51"/>
      <c r="AC87" s="51"/>
      <c r="AD87" s="51"/>
      <c r="AE87" s="51"/>
      <c r="AF87" s="50"/>
      <c r="AG87" s="51"/>
      <c r="AH87" s="54"/>
      <c r="AI87" s="51"/>
      <c r="AJ87" s="55" t="str">
        <f aca="false">IF(AH87="","",EDATE(AH87,60))</f>
        <v/>
      </c>
      <c r="AK87" s="49" t="str">
        <f aca="true">IF(B87="","",IF(OR(AG87="Non",AH87=""),"FDS ABSENTE",IF(TODAY()&gt;=EDATE(AH87,60),"EXPIRÉE",IF(TODAY()&gt;=EDATE(AH87,54),"À RENOUVELER","CONFORME"))))</f>
        <v/>
      </c>
      <c r="AL87" s="50"/>
      <c r="AM87" s="54"/>
      <c r="AN87" s="54"/>
      <c r="AO87" s="50"/>
      <c r="AP87" s="50"/>
      <c r="AQ87" s="50"/>
      <c r="AR87" s="50"/>
      <c r="AS87" s="50"/>
      <c r="AT87" s="50"/>
      <c r="AU87" s="50"/>
      <c r="AV87" s="50"/>
      <c r="AW87" s="52"/>
      <c r="AX87" s="52"/>
      <c r="AY87" s="56" t="str">
        <f aca="false">IF(OR(AW87="",AX87=""),"",AW87*AX87)</f>
        <v/>
      </c>
      <c r="AZ87" s="52"/>
      <c r="BA87" s="56" t="str">
        <f aca="false">IF(AY87="","",IF(AZ87="",AY87,ROUNDUP(AY87/AZ87,0)))</f>
        <v/>
      </c>
      <c r="BB87" s="49" t="str">
        <f aca="false">IF(BA87="","",IF(BA87&gt;=15,"P1 – Critique",IF(BA87&gt;=8,"P2 – Élevée",IF(BA87&gt;=4,"P3 – Modérée","P4 – Faible"))))</f>
        <v/>
      </c>
      <c r="BC87" s="50"/>
      <c r="BD87" s="50"/>
      <c r="BE87" s="54"/>
      <c r="BF87" s="57"/>
      <c r="BG87" s="50"/>
      <c r="BH87" s="54"/>
      <c r="BI87" s="54"/>
      <c r="BJ87" s="50"/>
      <c r="BK87" s="50"/>
    </row>
    <row r="88" customFormat="false" ht="15" hidden="false" customHeight="false" outlineLevel="0" collapsed="false">
      <c r="A88" s="49" t="str">
        <f aca="false">IF(B88="","","PC-"&amp;TEXT(ROW()-2,"000"))</f>
        <v/>
      </c>
      <c r="B88" s="50"/>
      <c r="C88" s="50"/>
      <c r="D88" s="51"/>
      <c r="E88" s="51"/>
      <c r="F88" s="51"/>
      <c r="G88" s="50"/>
      <c r="H88" s="50"/>
      <c r="I88" s="50"/>
      <c r="J88" s="51"/>
      <c r="K88" s="50"/>
      <c r="L88" s="50"/>
      <c r="M88" s="50"/>
      <c r="N88" s="50"/>
      <c r="O88" s="52"/>
      <c r="P88" s="50"/>
      <c r="Q88" s="52"/>
      <c r="R88" s="52"/>
      <c r="S88" s="49" t="str">
        <f aca="false">IF(B88="","",IF(OR(O88="",R88=""),"—",IF(O88&lt;=R88,"⚠ RÉAPPRO","OK")))</f>
        <v/>
      </c>
      <c r="T88" s="50"/>
      <c r="U88" s="50"/>
      <c r="V88" s="50"/>
      <c r="W88" s="50"/>
      <c r="X88" s="50"/>
      <c r="Y88" s="53" t="str">
        <f aca="false">IF(B88="","",IF(X88="","—",IF(X88="Non classé","Non classé",IFERROR(INDEX(RefH_Classe,MATCH(TRIM(LEFT(X88,FIND(",",X88&amp;",")-1)),RefH_Code,0)),"Code H inconnu"))))</f>
        <v/>
      </c>
      <c r="Z88" s="50"/>
      <c r="AA88" s="50"/>
      <c r="AB88" s="51"/>
      <c r="AC88" s="51"/>
      <c r="AD88" s="51"/>
      <c r="AE88" s="51"/>
      <c r="AF88" s="50"/>
      <c r="AG88" s="51"/>
      <c r="AH88" s="54"/>
      <c r="AI88" s="51"/>
      <c r="AJ88" s="55" t="str">
        <f aca="false">IF(AH88="","",EDATE(AH88,60))</f>
        <v/>
      </c>
      <c r="AK88" s="49" t="str">
        <f aca="true">IF(B88="","",IF(OR(AG88="Non",AH88=""),"FDS ABSENTE",IF(TODAY()&gt;=EDATE(AH88,60),"EXPIRÉE",IF(TODAY()&gt;=EDATE(AH88,54),"À RENOUVELER","CONFORME"))))</f>
        <v/>
      </c>
      <c r="AL88" s="50"/>
      <c r="AM88" s="54"/>
      <c r="AN88" s="54"/>
      <c r="AO88" s="50"/>
      <c r="AP88" s="50"/>
      <c r="AQ88" s="50"/>
      <c r="AR88" s="50"/>
      <c r="AS88" s="50"/>
      <c r="AT88" s="50"/>
      <c r="AU88" s="50"/>
      <c r="AV88" s="50"/>
      <c r="AW88" s="52"/>
      <c r="AX88" s="52"/>
      <c r="AY88" s="56" t="str">
        <f aca="false">IF(OR(AW88="",AX88=""),"",AW88*AX88)</f>
        <v/>
      </c>
      <c r="AZ88" s="52"/>
      <c r="BA88" s="56" t="str">
        <f aca="false">IF(AY88="","",IF(AZ88="",AY88,ROUNDUP(AY88/AZ88,0)))</f>
        <v/>
      </c>
      <c r="BB88" s="49" t="str">
        <f aca="false">IF(BA88="","",IF(BA88&gt;=15,"P1 – Critique",IF(BA88&gt;=8,"P2 – Élevée",IF(BA88&gt;=4,"P3 – Modérée","P4 – Faible"))))</f>
        <v/>
      </c>
      <c r="BC88" s="50"/>
      <c r="BD88" s="50"/>
      <c r="BE88" s="54"/>
      <c r="BF88" s="57"/>
      <c r="BG88" s="50"/>
      <c r="BH88" s="54"/>
      <c r="BI88" s="54"/>
      <c r="BJ88" s="50"/>
      <c r="BK88" s="50"/>
    </row>
    <row r="89" customFormat="false" ht="15" hidden="false" customHeight="false" outlineLevel="0" collapsed="false">
      <c r="A89" s="49" t="str">
        <f aca="false">IF(B89="","","PC-"&amp;TEXT(ROW()-2,"000"))</f>
        <v/>
      </c>
      <c r="B89" s="50"/>
      <c r="C89" s="50"/>
      <c r="D89" s="51"/>
      <c r="E89" s="51"/>
      <c r="F89" s="51"/>
      <c r="G89" s="50"/>
      <c r="H89" s="50"/>
      <c r="I89" s="50"/>
      <c r="J89" s="51"/>
      <c r="K89" s="50"/>
      <c r="L89" s="50"/>
      <c r="M89" s="50"/>
      <c r="N89" s="50"/>
      <c r="O89" s="52"/>
      <c r="P89" s="50"/>
      <c r="Q89" s="52"/>
      <c r="R89" s="52"/>
      <c r="S89" s="49" t="str">
        <f aca="false">IF(B89="","",IF(OR(O89="",R89=""),"—",IF(O89&lt;=R89,"⚠ RÉAPPRO","OK")))</f>
        <v/>
      </c>
      <c r="T89" s="50"/>
      <c r="U89" s="50"/>
      <c r="V89" s="50"/>
      <c r="W89" s="50"/>
      <c r="X89" s="50"/>
      <c r="Y89" s="53" t="str">
        <f aca="false">IF(B89="","",IF(X89="","—",IF(X89="Non classé","Non classé",IFERROR(INDEX(RefH_Classe,MATCH(TRIM(LEFT(X89,FIND(",",X89&amp;",")-1)),RefH_Code,0)),"Code H inconnu"))))</f>
        <v/>
      </c>
      <c r="Z89" s="50"/>
      <c r="AA89" s="50"/>
      <c r="AB89" s="51"/>
      <c r="AC89" s="51"/>
      <c r="AD89" s="51"/>
      <c r="AE89" s="51"/>
      <c r="AF89" s="50"/>
      <c r="AG89" s="51"/>
      <c r="AH89" s="54"/>
      <c r="AI89" s="51"/>
      <c r="AJ89" s="55" t="str">
        <f aca="false">IF(AH89="","",EDATE(AH89,60))</f>
        <v/>
      </c>
      <c r="AK89" s="49" t="str">
        <f aca="true">IF(B89="","",IF(OR(AG89="Non",AH89=""),"FDS ABSENTE",IF(TODAY()&gt;=EDATE(AH89,60),"EXPIRÉE",IF(TODAY()&gt;=EDATE(AH89,54),"À RENOUVELER","CONFORME"))))</f>
        <v/>
      </c>
      <c r="AL89" s="50"/>
      <c r="AM89" s="54"/>
      <c r="AN89" s="54"/>
      <c r="AO89" s="50"/>
      <c r="AP89" s="50"/>
      <c r="AQ89" s="50"/>
      <c r="AR89" s="50"/>
      <c r="AS89" s="50"/>
      <c r="AT89" s="50"/>
      <c r="AU89" s="50"/>
      <c r="AV89" s="50"/>
      <c r="AW89" s="52"/>
      <c r="AX89" s="52"/>
      <c r="AY89" s="56" t="str">
        <f aca="false">IF(OR(AW89="",AX89=""),"",AW89*AX89)</f>
        <v/>
      </c>
      <c r="AZ89" s="52"/>
      <c r="BA89" s="56" t="str">
        <f aca="false">IF(AY89="","",IF(AZ89="",AY89,ROUNDUP(AY89/AZ89,0)))</f>
        <v/>
      </c>
      <c r="BB89" s="49" t="str">
        <f aca="false">IF(BA89="","",IF(BA89&gt;=15,"P1 – Critique",IF(BA89&gt;=8,"P2 – Élevée",IF(BA89&gt;=4,"P3 – Modérée","P4 – Faible"))))</f>
        <v/>
      </c>
      <c r="BC89" s="50"/>
      <c r="BD89" s="50"/>
      <c r="BE89" s="54"/>
      <c r="BF89" s="57"/>
      <c r="BG89" s="50"/>
      <c r="BH89" s="54"/>
      <c r="BI89" s="54"/>
      <c r="BJ89" s="50"/>
      <c r="BK89" s="50"/>
    </row>
    <row r="90" customFormat="false" ht="15" hidden="false" customHeight="false" outlineLevel="0" collapsed="false">
      <c r="A90" s="49" t="str">
        <f aca="false">IF(B90="","","PC-"&amp;TEXT(ROW()-2,"000"))</f>
        <v/>
      </c>
      <c r="B90" s="50"/>
      <c r="C90" s="50"/>
      <c r="D90" s="51"/>
      <c r="E90" s="51"/>
      <c r="F90" s="51"/>
      <c r="G90" s="50"/>
      <c r="H90" s="50"/>
      <c r="I90" s="50"/>
      <c r="J90" s="51"/>
      <c r="K90" s="50"/>
      <c r="L90" s="50"/>
      <c r="M90" s="50"/>
      <c r="N90" s="50"/>
      <c r="O90" s="52"/>
      <c r="P90" s="50"/>
      <c r="Q90" s="52"/>
      <c r="R90" s="52"/>
      <c r="S90" s="49" t="str">
        <f aca="false">IF(B90="","",IF(OR(O90="",R90=""),"—",IF(O90&lt;=R90,"⚠ RÉAPPRO","OK")))</f>
        <v/>
      </c>
      <c r="T90" s="50"/>
      <c r="U90" s="50"/>
      <c r="V90" s="50"/>
      <c r="W90" s="50"/>
      <c r="X90" s="50"/>
      <c r="Y90" s="53" t="str">
        <f aca="false">IF(B90="","",IF(X90="","—",IF(X90="Non classé","Non classé",IFERROR(INDEX(RefH_Classe,MATCH(TRIM(LEFT(X90,FIND(",",X90&amp;",")-1)),RefH_Code,0)),"Code H inconnu"))))</f>
        <v/>
      </c>
      <c r="Z90" s="50"/>
      <c r="AA90" s="50"/>
      <c r="AB90" s="51"/>
      <c r="AC90" s="51"/>
      <c r="AD90" s="51"/>
      <c r="AE90" s="51"/>
      <c r="AF90" s="50"/>
      <c r="AG90" s="51"/>
      <c r="AH90" s="54"/>
      <c r="AI90" s="51"/>
      <c r="AJ90" s="55" t="str">
        <f aca="false">IF(AH90="","",EDATE(AH90,60))</f>
        <v/>
      </c>
      <c r="AK90" s="49" t="str">
        <f aca="true">IF(B90="","",IF(OR(AG90="Non",AH90=""),"FDS ABSENTE",IF(TODAY()&gt;=EDATE(AH90,60),"EXPIRÉE",IF(TODAY()&gt;=EDATE(AH90,54),"À RENOUVELER","CONFORME"))))</f>
        <v/>
      </c>
      <c r="AL90" s="50"/>
      <c r="AM90" s="54"/>
      <c r="AN90" s="54"/>
      <c r="AO90" s="50"/>
      <c r="AP90" s="50"/>
      <c r="AQ90" s="50"/>
      <c r="AR90" s="50"/>
      <c r="AS90" s="50"/>
      <c r="AT90" s="50"/>
      <c r="AU90" s="50"/>
      <c r="AV90" s="50"/>
      <c r="AW90" s="52"/>
      <c r="AX90" s="52"/>
      <c r="AY90" s="56" t="str">
        <f aca="false">IF(OR(AW90="",AX90=""),"",AW90*AX90)</f>
        <v/>
      </c>
      <c r="AZ90" s="52"/>
      <c r="BA90" s="56" t="str">
        <f aca="false">IF(AY90="","",IF(AZ90="",AY90,ROUNDUP(AY90/AZ90,0)))</f>
        <v/>
      </c>
      <c r="BB90" s="49" t="str">
        <f aca="false">IF(BA90="","",IF(BA90&gt;=15,"P1 – Critique",IF(BA90&gt;=8,"P2 – Élevée",IF(BA90&gt;=4,"P3 – Modérée","P4 – Faible"))))</f>
        <v/>
      </c>
      <c r="BC90" s="50"/>
      <c r="BD90" s="50"/>
      <c r="BE90" s="54"/>
      <c r="BF90" s="57"/>
      <c r="BG90" s="50"/>
      <c r="BH90" s="54"/>
      <c r="BI90" s="54"/>
      <c r="BJ90" s="50"/>
      <c r="BK90" s="50"/>
    </row>
    <row r="91" customFormat="false" ht="15" hidden="false" customHeight="false" outlineLevel="0" collapsed="false">
      <c r="A91" s="49" t="str">
        <f aca="false">IF(B91="","","PC-"&amp;TEXT(ROW()-2,"000"))</f>
        <v/>
      </c>
      <c r="B91" s="50"/>
      <c r="C91" s="50"/>
      <c r="D91" s="51"/>
      <c r="E91" s="51"/>
      <c r="F91" s="51"/>
      <c r="G91" s="50"/>
      <c r="H91" s="50"/>
      <c r="I91" s="50"/>
      <c r="J91" s="51"/>
      <c r="K91" s="50"/>
      <c r="L91" s="50"/>
      <c r="M91" s="50"/>
      <c r="N91" s="50"/>
      <c r="O91" s="52"/>
      <c r="P91" s="50"/>
      <c r="Q91" s="52"/>
      <c r="R91" s="52"/>
      <c r="S91" s="49" t="str">
        <f aca="false">IF(B91="","",IF(OR(O91="",R91=""),"—",IF(O91&lt;=R91,"⚠ RÉAPPRO","OK")))</f>
        <v/>
      </c>
      <c r="T91" s="50"/>
      <c r="U91" s="50"/>
      <c r="V91" s="50"/>
      <c r="W91" s="50"/>
      <c r="X91" s="50"/>
      <c r="Y91" s="53" t="str">
        <f aca="false">IF(B91="","",IF(X91="","—",IF(X91="Non classé","Non classé",IFERROR(INDEX(RefH_Classe,MATCH(TRIM(LEFT(X91,FIND(",",X91&amp;",")-1)),RefH_Code,0)),"Code H inconnu"))))</f>
        <v/>
      </c>
      <c r="Z91" s="50"/>
      <c r="AA91" s="50"/>
      <c r="AB91" s="51"/>
      <c r="AC91" s="51"/>
      <c r="AD91" s="51"/>
      <c r="AE91" s="51"/>
      <c r="AF91" s="50"/>
      <c r="AG91" s="51"/>
      <c r="AH91" s="54"/>
      <c r="AI91" s="51"/>
      <c r="AJ91" s="55" t="str">
        <f aca="false">IF(AH91="","",EDATE(AH91,60))</f>
        <v/>
      </c>
      <c r="AK91" s="49" t="str">
        <f aca="true">IF(B91="","",IF(OR(AG91="Non",AH91=""),"FDS ABSENTE",IF(TODAY()&gt;=EDATE(AH91,60),"EXPIRÉE",IF(TODAY()&gt;=EDATE(AH91,54),"À RENOUVELER","CONFORME"))))</f>
        <v/>
      </c>
      <c r="AL91" s="50"/>
      <c r="AM91" s="54"/>
      <c r="AN91" s="54"/>
      <c r="AO91" s="50"/>
      <c r="AP91" s="50"/>
      <c r="AQ91" s="50"/>
      <c r="AR91" s="50"/>
      <c r="AS91" s="50"/>
      <c r="AT91" s="50"/>
      <c r="AU91" s="50"/>
      <c r="AV91" s="50"/>
      <c r="AW91" s="52"/>
      <c r="AX91" s="52"/>
      <c r="AY91" s="56" t="str">
        <f aca="false">IF(OR(AW91="",AX91=""),"",AW91*AX91)</f>
        <v/>
      </c>
      <c r="AZ91" s="52"/>
      <c r="BA91" s="56" t="str">
        <f aca="false">IF(AY91="","",IF(AZ91="",AY91,ROUNDUP(AY91/AZ91,0)))</f>
        <v/>
      </c>
      <c r="BB91" s="49" t="str">
        <f aca="false">IF(BA91="","",IF(BA91&gt;=15,"P1 – Critique",IF(BA91&gt;=8,"P2 – Élevée",IF(BA91&gt;=4,"P3 – Modérée","P4 – Faible"))))</f>
        <v/>
      </c>
      <c r="BC91" s="50"/>
      <c r="BD91" s="50"/>
      <c r="BE91" s="54"/>
      <c r="BF91" s="57"/>
      <c r="BG91" s="50"/>
      <c r="BH91" s="54"/>
      <c r="BI91" s="54"/>
      <c r="BJ91" s="50"/>
      <c r="BK91" s="50"/>
    </row>
    <row r="92" customFormat="false" ht="15" hidden="false" customHeight="false" outlineLevel="0" collapsed="false">
      <c r="A92" s="49" t="str">
        <f aca="false">IF(B92="","","PC-"&amp;TEXT(ROW()-2,"000"))</f>
        <v/>
      </c>
      <c r="B92" s="50"/>
      <c r="C92" s="50"/>
      <c r="D92" s="51"/>
      <c r="E92" s="51"/>
      <c r="F92" s="51"/>
      <c r="G92" s="50"/>
      <c r="H92" s="50"/>
      <c r="I92" s="50"/>
      <c r="J92" s="51"/>
      <c r="K92" s="50"/>
      <c r="L92" s="50"/>
      <c r="M92" s="50"/>
      <c r="N92" s="50"/>
      <c r="O92" s="52"/>
      <c r="P92" s="50"/>
      <c r="Q92" s="52"/>
      <c r="R92" s="52"/>
      <c r="S92" s="49" t="str">
        <f aca="false">IF(B92="","",IF(OR(O92="",R92=""),"—",IF(O92&lt;=R92,"⚠ RÉAPPRO","OK")))</f>
        <v/>
      </c>
      <c r="T92" s="50"/>
      <c r="U92" s="50"/>
      <c r="V92" s="50"/>
      <c r="W92" s="50"/>
      <c r="X92" s="50"/>
      <c r="Y92" s="53" t="str">
        <f aca="false">IF(B92="","",IF(X92="","—",IF(X92="Non classé","Non classé",IFERROR(INDEX(RefH_Classe,MATCH(TRIM(LEFT(X92,FIND(",",X92&amp;",")-1)),RefH_Code,0)),"Code H inconnu"))))</f>
        <v/>
      </c>
      <c r="Z92" s="50"/>
      <c r="AA92" s="50"/>
      <c r="AB92" s="51"/>
      <c r="AC92" s="51"/>
      <c r="AD92" s="51"/>
      <c r="AE92" s="51"/>
      <c r="AF92" s="50"/>
      <c r="AG92" s="51"/>
      <c r="AH92" s="54"/>
      <c r="AI92" s="51"/>
      <c r="AJ92" s="55" t="str">
        <f aca="false">IF(AH92="","",EDATE(AH92,60))</f>
        <v/>
      </c>
      <c r="AK92" s="49" t="str">
        <f aca="true">IF(B92="","",IF(OR(AG92="Non",AH92=""),"FDS ABSENTE",IF(TODAY()&gt;=EDATE(AH92,60),"EXPIRÉE",IF(TODAY()&gt;=EDATE(AH92,54),"À RENOUVELER","CONFORME"))))</f>
        <v/>
      </c>
      <c r="AL92" s="50"/>
      <c r="AM92" s="54"/>
      <c r="AN92" s="54"/>
      <c r="AO92" s="50"/>
      <c r="AP92" s="50"/>
      <c r="AQ92" s="50"/>
      <c r="AR92" s="50"/>
      <c r="AS92" s="50"/>
      <c r="AT92" s="50"/>
      <c r="AU92" s="50"/>
      <c r="AV92" s="50"/>
      <c r="AW92" s="52"/>
      <c r="AX92" s="52"/>
      <c r="AY92" s="56" t="str">
        <f aca="false">IF(OR(AW92="",AX92=""),"",AW92*AX92)</f>
        <v/>
      </c>
      <c r="AZ92" s="52"/>
      <c r="BA92" s="56" t="str">
        <f aca="false">IF(AY92="","",IF(AZ92="",AY92,ROUNDUP(AY92/AZ92,0)))</f>
        <v/>
      </c>
      <c r="BB92" s="49" t="str">
        <f aca="false">IF(BA92="","",IF(BA92&gt;=15,"P1 – Critique",IF(BA92&gt;=8,"P2 – Élevée",IF(BA92&gt;=4,"P3 – Modérée","P4 – Faible"))))</f>
        <v/>
      </c>
      <c r="BC92" s="50"/>
      <c r="BD92" s="50"/>
      <c r="BE92" s="54"/>
      <c r="BF92" s="57"/>
      <c r="BG92" s="50"/>
      <c r="BH92" s="54"/>
      <c r="BI92" s="54"/>
      <c r="BJ92" s="50"/>
      <c r="BK92" s="50"/>
    </row>
    <row r="93" customFormat="false" ht="15" hidden="false" customHeight="false" outlineLevel="0" collapsed="false">
      <c r="A93" s="49" t="str">
        <f aca="false">IF(B93="","","PC-"&amp;TEXT(ROW()-2,"000"))</f>
        <v/>
      </c>
      <c r="B93" s="50"/>
      <c r="C93" s="50"/>
      <c r="D93" s="51"/>
      <c r="E93" s="51"/>
      <c r="F93" s="51"/>
      <c r="G93" s="50"/>
      <c r="H93" s="50"/>
      <c r="I93" s="50"/>
      <c r="J93" s="51"/>
      <c r="K93" s="50"/>
      <c r="L93" s="50"/>
      <c r="M93" s="50"/>
      <c r="N93" s="50"/>
      <c r="O93" s="52"/>
      <c r="P93" s="50"/>
      <c r="Q93" s="52"/>
      <c r="R93" s="52"/>
      <c r="S93" s="49" t="str">
        <f aca="false">IF(B93="","",IF(OR(O93="",R93=""),"—",IF(O93&lt;=R93,"⚠ RÉAPPRO","OK")))</f>
        <v/>
      </c>
      <c r="T93" s="50"/>
      <c r="U93" s="50"/>
      <c r="V93" s="50"/>
      <c r="W93" s="50"/>
      <c r="X93" s="50"/>
      <c r="Y93" s="53" t="str">
        <f aca="false">IF(B93="","",IF(X93="","—",IF(X93="Non classé","Non classé",IFERROR(INDEX(RefH_Classe,MATCH(TRIM(LEFT(X93,FIND(",",X93&amp;",")-1)),RefH_Code,0)),"Code H inconnu"))))</f>
        <v/>
      </c>
      <c r="Z93" s="50"/>
      <c r="AA93" s="50"/>
      <c r="AB93" s="51"/>
      <c r="AC93" s="51"/>
      <c r="AD93" s="51"/>
      <c r="AE93" s="51"/>
      <c r="AF93" s="50"/>
      <c r="AG93" s="51"/>
      <c r="AH93" s="54"/>
      <c r="AI93" s="51"/>
      <c r="AJ93" s="55" t="str">
        <f aca="false">IF(AH93="","",EDATE(AH93,60))</f>
        <v/>
      </c>
      <c r="AK93" s="49" t="str">
        <f aca="true">IF(B93="","",IF(OR(AG93="Non",AH93=""),"FDS ABSENTE",IF(TODAY()&gt;=EDATE(AH93,60),"EXPIRÉE",IF(TODAY()&gt;=EDATE(AH93,54),"À RENOUVELER","CONFORME"))))</f>
        <v/>
      </c>
      <c r="AL93" s="50"/>
      <c r="AM93" s="54"/>
      <c r="AN93" s="54"/>
      <c r="AO93" s="50"/>
      <c r="AP93" s="50"/>
      <c r="AQ93" s="50"/>
      <c r="AR93" s="50"/>
      <c r="AS93" s="50"/>
      <c r="AT93" s="50"/>
      <c r="AU93" s="50"/>
      <c r="AV93" s="50"/>
      <c r="AW93" s="52"/>
      <c r="AX93" s="52"/>
      <c r="AY93" s="56" t="str">
        <f aca="false">IF(OR(AW93="",AX93=""),"",AW93*AX93)</f>
        <v/>
      </c>
      <c r="AZ93" s="52"/>
      <c r="BA93" s="56" t="str">
        <f aca="false">IF(AY93="","",IF(AZ93="",AY93,ROUNDUP(AY93/AZ93,0)))</f>
        <v/>
      </c>
      <c r="BB93" s="49" t="str">
        <f aca="false">IF(BA93="","",IF(BA93&gt;=15,"P1 – Critique",IF(BA93&gt;=8,"P2 – Élevée",IF(BA93&gt;=4,"P3 – Modérée","P4 – Faible"))))</f>
        <v/>
      </c>
      <c r="BC93" s="50"/>
      <c r="BD93" s="50"/>
      <c r="BE93" s="54"/>
      <c r="BF93" s="57"/>
      <c r="BG93" s="50"/>
      <c r="BH93" s="54"/>
      <c r="BI93" s="54"/>
      <c r="BJ93" s="50"/>
      <c r="BK93" s="50"/>
    </row>
    <row r="94" customFormat="false" ht="15" hidden="false" customHeight="false" outlineLevel="0" collapsed="false">
      <c r="A94" s="49" t="str">
        <f aca="false">IF(B94="","","PC-"&amp;TEXT(ROW()-2,"000"))</f>
        <v/>
      </c>
      <c r="B94" s="50"/>
      <c r="C94" s="50"/>
      <c r="D94" s="51"/>
      <c r="E94" s="51"/>
      <c r="F94" s="51"/>
      <c r="G94" s="50"/>
      <c r="H94" s="50"/>
      <c r="I94" s="50"/>
      <c r="J94" s="51"/>
      <c r="K94" s="50"/>
      <c r="L94" s="50"/>
      <c r="M94" s="50"/>
      <c r="N94" s="50"/>
      <c r="O94" s="52"/>
      <c r="P94" s="50"/>
      <c r="Q94" s="52"/>
      <c r="R94" s="52"/>
      <c r="S94" s="49" t="str">
        <f aca="false">IF(B94="","",IF(OR(O94="",R94=""),"—",IF(O94&lt;=R94,"⚠ RÉAPPRO","OK")))</f>
        <v/>
      </c>
      <c r="T94" s="50"/>
      <c r="U94" s="50"/>
      <c r="V94" s="50"/>
      <c r="W94" s="50"/>
      <c r="X94" s="50"/>
      <c r="Y94" s="53" t="str">
        <f aca="false">IF(B94="","",IF(X94="","—",IF(X94="Non classé","Non classé",IFERROR(INDEX(RefH_Classe,MATCH(TRIM(LEFT(X94,FIND(",",X94&amp;",")-1)),RefH_Code,0)),"Code H inconnu"))))</f>
        <v/>
      </c>
      <c r="Z94" s="50"/>
      <c r="AA94" s="50"/>
      <c r="AB94" s="51"/>
      <c r="AC94" s="51"/>
      <c r="AD94" s="51"/>
      <c r="AE94" s="51"/>
      <c r="AF94" s="50"/>
      <c r="AG94" s="51"/>
      <c r="AH94" s="54"/>
      <c r="AI94" s="51"/>
      <c r="AJ94" s="55" t="str">
        <f aca="false">IF(AH94="","",EDATE(AH94,60))</f>
        <v/>
      </c>
      <c r="AK94" s="49" t="str">
        <f aca="true">IF(B94="","",IF(OR(AG94="Non",AH94=""),"FDS ABSENTE",IF(TODAY()&gt;=EDATE(AH94,60),"EXPIRÉE",IF(TODAY()&gt;=EDATE(AH94,54),"À RENOUVELER","CONFORME"))))</f>
        <v/>
      </c>
      <c r="AL94" s="50"/>
      <c r="AM94" s="54"/>
      <c r="AN94" s="54"/>
      <c r="AO94" s="50"/>
      <c r="AP94" s="50"/>
      <c r="AQ94" s="50"/>
      <c r="AR94" s="50"/>
      <c r="AS94" s="50"/>
      <c r="AT94" s="50"/>
      <c r="AU94" s="50"/>
      <c r="AV94" s="50"/>
      <c r="AW94" s="52"/>
      <c r="AX94" s="52"/>
      <c r="AY94" s="56" t="str">
        <f aca="false">IF(OR(AW94="",AX94=""),"",AW94*AX94)</f>
        <v/>
      </c>
      <c r="AZ94" s="52"/>
      <c r="BA94" s="56" t="str">
        <f aca="false">IF(AY94="","",IF(AZ94="",AY94,ROUNDUP(AY94/AZ94,0)))</f>
        <v/>
      </c>
      <c r="BB94" s="49" t="str">
        <f aca="false">IF(BA94="","",IF(BA94&gt;=15,"P1 – Critique",IF(BA94&gt;=8,"P2 – Élevée",IF(BA94&gt;=4,"P3 – Modérée","P4 – Faible"))))</f>
        <v/>
      </c>
      <c r="BC94" s="50"/>
      <c r="BD94" s="50"/>
      <c r="BE94" s="54"/>
      <c r="BF94" s="57"/>
      <c r="BG94" s="50"/>
      <c r="BH94" s="54"/>
      <c r="BI94" s="54"/>
      <c r="BJ94" s="50"/>
      <c r="BK94" s="50"/>
    </row>
    <row r="95" customFormat="false" ht="15" hidden="false" customHeight="false" outlineLevel="0" collapsed="false">
      <c r="A95" s="49" t="str">
        <f aca="false">IF(B95="","","PC-"&amp;TEXT(ROW()-2,"000"))</f>
        <v/>
      </c>
      <c r="B95" s="50"/>
      <c r="C95" s="50"/>
      <c r="D95" s="51"/>
      <c r="E95" s="51"/>
      <c r="F95" s="51"/>
      <c r="G95" s="50"/>
      <c r="H95" s="50"/>
      <c r="I95" s="50"/>
      <c r="J95" s="51"/>
      <c r="K95" s="50"/>
      <c r="L95" s="50"/>
      <c r="M95" s="50"/>
      <c r="N95" s="50"/>
      <c r="O95" s="52"/>
      <c r="P95" s="50"/>
      <c r="Q95" s="52"/>
      <c r="R95" s="52"/>
      <c r="S95" s="49" t="str">
        <f aca="false">IF(B95="","",IF(OR(O95="",R95=""),"—",IF(O95&lt;=R95,"⚠ RÉAPPRO","OK")))</f>
        <v/>
      </c>
      <c r="T95" s="50"/>
      <c r="U95" s="50"/>
      <c r="V95" s="50"/>
      <c r="W95" s="50"/>
      <c r="X95" s="50"/>
      <c r="Y95" s="53" t="str">
        <f aca="false">IF(B95="","",IF(X95="","—",IF(X95="Non classé","Non classé",IFERROR(INDEX(RefH_Classe,MATCH(TRIM(LEFT(X95,FIND(",",X95&amp;",")-1)),RefH_Code,0)),"Code H inconnu"))))</f>
        <v/>
      </c>
      <c r="Z95" s="50"/>
      <c r="AA95" s="50"/>
      <c r="AB95" s="51"/>
      <c r="AC95" s="51"/>
      <c r="AD95" s="51"/>
      <c r="AE95" s="51"/>
      <c r="AF95" s="50"/>
      <c r="AG95" s="51"/>
      <c r="AH95" s="54"/>
      <c r="AI95" s="51"/>
      <c r="AJ95" s="55" t="str">
        <f aca="false">IF(AH95="","",EDATE(AH95,60))</f>
        <v/>
      </c>
      <c r="AK95" s="49" t="str">
        <f aca="true">IF(B95="","",IF(OR(AG95="Non",AH95=""),"FDS ABSENTE",IF(TODAY()&gt;=EDATE(AH95,60),"EXPIRÉE",IF(TODAY()&gt;=EDATE(AH95,54),"À RENOUVELER","CONFORME"))))</f>
        <v/>
      </c>
      <c r="AL95" s="50"/>
      <c r="AM95" s="54"/>
      <c r="AN95" s="54"/>
      <c r="AO95" s="50"/>
      <c r="AP95" s="50"/>
      <c r="AQ95" s="50"/>
      <c r="AR95" s="50"/>
      <c r="AS95" s="50"/>
      <c r="AT95" s="50"/>
      <c r="AU95" s="50"/>
      <c r="AV95" s="50"/>
      <c r="AW95" s="52"/>
      <c r="AX95" s="52"/>
      <c r="AY95" s="56" t="str">
        <f aca="false">IF(OR(AW95="",AX95=""),"",AW95*AX95)</f>
        <v/>
      </c>
      <c r="AZ95" s="52"/>
      <c r="BA95" s="56" t="str">
        <f aca="false">IF(AY95="","",IF(AZ95="",AY95,ROUNDUP(AY95/AZ95,0)))</f>
        <v/>
      </c>
      <c r="BB95" s="49" t="str">
        <f aca="false">IF(BA95="","",IF(BA95&gt;=15,"P1 – Critique",IF(BA95&gt;=8,"P2 – Élevée",IF(BA95&gt;=4,"P3 – Modérée","P4 – Faible"))))</f>
        <v/>
      </c>
      <c r="BC95" s="50"/>
      <c r="BD95" s="50"/>
      <c r="BE95" s="54"/>
      <c r="BF95" s="57"/>
      <c r="BG95" s="50"/>
      <c r="BH95" s="54"/>
      <c r="BI95" s="54"/>
      <c r="BJ95" s="50"/>
      <c r="BK95" s="50"/>
    </row>
    <row r="96" customFormat="false" ht="15" hidden="false" customHeight="false" outlineLevel="0" collapsed="false">
      <c r="A96" s="49" t="str">
        <f aca="false">IF(B96="","","PC-"&amp;TEXT(ROW()-2,"000"))</f>
        <v/>
      </c>
      <c r="B96" s="50"/>
      <c r="C96" s="50"/>
      <c r="D96" s="51"/>
      <c r="E96" s="51"/>
      <c r="F96" s="51"/>
      <c r="G96" s="50"/>
      <c r="H96" s="50"/>
      <c r="I96" s="50"/>
      <c r="J96" s="51"/>
      <c r="K96" s="50"/>
      <c r="L96" s="50"/>
      <c r="M96" s="50"/>
      <c r="N96" s="50"/>
      <c r="O96" s="52"/>
      <c r="P96" s="50"/>
      <c r="Q96" s="52"/>
      <c r="R96" s="52"/>
      <c r="S96" s="49" t="str">
        <f aca="false">IF(B96="","",IF(OR(O96="",R96=""),"—",IF(O96&lt;=R96,"⚠ RÉAPPRO","OK")))</f>
        <v/>
      </c>
      <c r="T96" s="50"/>
      <c r="U96" s="50"/>
      <c r="V96" s="50"/>
      <c r="W96" s="50"/>
      <c r="X96" s="50"/>
      <c r="Y96" s="53" t="str">
        <f aca="false">IF(B96="","",IF(X96="","—",IF(X96="Non classé","Non classé",IFERROR(INDEX(RefH_Classe,MATCH(TRIM(LEFT(X96,FIND(",",X96&amp;",")-1)),RefH_Code,0)),"Code H inconnu"))))</f>
        <v/>
      </c>
      <c r="Z96" s="50"/>
      <c r="AA96" s="50"/>
      <c r="AB96" s="51"/>
      <c r="AC96" s="51"/>
      <c r="AD96" s="51"/>
      <c r="AE96" s="51"/>
      <c r="AF96" s="50"/>
      <c r="AG96" s="51"/>
      <c r="AH96" s="54"/>
      <c r="AI96" s="51"/>
      <c r="AJ96" s="55" t="str">
        <f aca="false">IF(AH96="","",EDATE(AH96,60))</f>
        <v/>
      </c>
      <c r="AK96" s="49" t="str">
        <f aca="true">IF(B96="","",IF(OR(AG96="Non",AH96=""),"FDS ABSENTE",IF(TODAY()&gt;=EDATE(AH96,60),"EXPIRÉE",IF(TODAY()&gt;=EDATE(AH96,54),"À RENOUVELER","CONFORME"))))</f>
        <v/>
      </c>
      <c r="AL96" s="50"/>
      <c r="AM96" s="54"/>
      <c r="AN96" s="54"/>
      <c r="AO96" s="50"/>
      <c r="AP96" s="50"/>
      <c r="AQ96" s="50"/>
      <c r="AR96" s="50"/>
      <c r="AS96" s="50"/>
      <c r="AT96" s="50"/>
      <c r="AU96" s="50"/>
      <c r="AV96" s="50"/>
      <c r="AW96" s="52"/>
      <c r="AX96" s="52"/>
      <c r="AY96" s="56" t="str">
        <f aca="false">IF(OR(AW96="",AX96=""),"",AW96*AX96)</f>
        <v/>
      </c>
      <c r="AZ96" s="52"/>
      <c r="BA96" s="56" t="str">
        <f aca="false">IF(AY96="","",IF(AZ96="",AY96,ROUNDUP(AY96/AZ96,0)))</f>
        <v/>
      </c>
      <c r="BB96" s="49" t="str">
        <f aca="false">IF(BA96="","",IF(BA96&gt;=15,"P1 – Critique",IF(BA96&gt;=8,"P2 – Élevée",IF(BA96&gt;=4,"P3 – Modérée","P4 – Faible"))))</f>
        <v/>
      </c>
      <c r="BC96" s="50"/>
      <c r="BD96" s="50"/>
      <c r="BE96" s="54"/>
      <c r="BF96" s="57"/>
      <c r="BG96" s="50"/>
      <c r="BH96" s="54"/>
      <c r="BI96" s="54"/>
      <c r="BJ96" s="50"/>
      <c r="BK96" s="50"/>
    </row>
    <row r="97" customFormat="false" ht="15" hidden="false" customHeight="false" outlineLevel="0" collapsed="false">
      <c r="A97" s="49" t="str">
        <f aca="false">IF(B97="","","PC-"&amp;TEXT(ROW()-2,"000"))</f>
        <v/>
      </c>
      <c r="B97" s="50"/>
      <c r="C97" s="50"/>
      <c r="D97" s="51"/>
      <c r="E97" s="51"/>
      <c r="F97" s="51"/>
      <c r="G97" s="50"/>
      <c r="H97" s="50"/>
      <c r="I97" s="50"/>
      <c r="J97" s="51"/>
      <c r="K97" s="50"/>
      <c r="L97" s="50"/>
      <c r="M97" s="50"/>
      <c r="N97" s="50"/>
      <c r="O97" s="52"/>
      <c r="P97" s="50"/>
      <c r="Q97" s="52"/>
      <c r="R97" s="52"/>
      <c r="S97" s="49" t="str">
        <f aca="false">IF(B97="","",IF(OR(O97="",R97=""),"—",IF(O97&lt;=R97,"⚠ RÉAPPRO","OK")))</f>
        <v/>
      </c>
      <c r="T97" s="50"/>
      <c r="U97" s="50"/>
      <c r="V97" s="50"/>
      <c r="W97" s="50"/>
      <c r="X97" s="50"/>
      <c r="Y97" s="53" t="str">
        <f aca="false">IF(B97="","",IF(X97="","—",IF(X97="Non classé","Non classé",IFERROR(INDEX(RefH_Classe,MATCH(TRIM(LEFT(X97,FIND(",",X97&amp;",")-1)),RefH_Code,0)),"Code H inconnu"))))</f>
        <v/>
      </c>
      <c r="Z97" s="50"/>
      <c r="AA97" s="50"/>
      <c r="AB97" s="51"/>
      <c r="AC97" s="51"/>
      <c r="AD97" s="51"/>
      <c r="AE97" s="51"/>
      <c r="AF97" s="50"/>
      <c r="AG97" s="51"/>
      <c r="AH97" s="54"/>
      <c r="AI97" s="51"/>
      <c r="AJ97" s="55" t="str">
        <f aca="false">IF(AH97="","",EDATE(AH97,60))</f>
        <v/>
      </c>
      <c r="AK97" s="49" t="str">
        <f aca="true">IF(B97="","",IF(OR(AG97="Non",AH97=""),"FDS ABSENTE",IF(TODAY()&gt;=EDATE(AH97,60),"EXPIRÉE",IF(TODAY()&gt;=EDATE(AH97,54),"À RENOUVELER","CONFORME"))))</f>
        <v/>
      </c>
      <c r="AL97" s="50"/>
      <c r="AM97" s="54"/>
      <c r="AN97" s="54"/>
      <c r="AO97" s="50"/>
      <c r="AP97" s="50"/>
      <c r="AQ97" s="50"/>
      <c r="AR97" s="50"/>
      <c r="AS97" s="50"/>
      <c r="AT97" s="50"/>
      <c r="AU97" s="50"/>
      <c r="AV97" s="50"/>
      <c r="AW97" s="52"/>
      <c r="AX97" s="52"/>
      <c r="AY97" s="56" t="str">
        <f aca="false">IF(OR(AW97="",AX97=""),"",AW97*AX97)</f>
        <v/>
      </c>
      <c r="AZ97" s="52"/>
      <c r="BA97" s="56" t="str">
        <f aca="false">IF(AY97="","",IF(AZ97="",AY97,ROUNDUP(AY97/AZ97,0)))</f>
        <v/>
      </c>
      <c r="BB97" s="49" t="str">
        <f aca="false">IF(BA97="","",IF(BA97&gt;=15,"P1 – Critique",IF(BA97&gt;=8,"P2 – Élevée",IF(BA97&gt;=4,"P3 – Modérée","P4 – Faible"))))</f>
        <v/>
      </c>
      <c r="BC97" s="50"/>
      <c r="BD97" s="50"/>
      <c r="BE97" s="54"/>
      <c r="BF97" s="57"/>
      <c r="BG97" s="50"/>
      <c r="BH97" s="54"/>
      <c r="BI97" s="54"/>
      <c r="BJ97" s="50"/>
      <c r="BK97" s="50"/>
    </row>
    <row r="98" customFormat="false" ht="15" hidden="false" customHeight="false" outlineLevel="0" collapsed="false">
      <c r="A98" s="49" t="str">
        <f aca="false">IF(B98="","","PC-"&amp;TEXT(ROW()-2,"000"))</f>
        <v/>
      </c>
      <c r="B98" s="50"/>
      <c r="C98" s="50"/>
      <c r="D98" s="51"/>
      <c r="E98" s="51"/>
      <c r="F98" s="51"/>
      <c r="G98" s="50"/>
      <c r="H98" s="50"/>
      <c r="I98" s="50"/>
      <c r="J98" s="51"/>
      <c r="K98" s="50"/>
      <c r="L98" s="50"/>
      <c r="M98" s="50"/>
      <c r="N98" s="50"/>
      <c r="O98" s="52"/>
      <c r="P98" s="50"/>
      <c r="Q98" s="52"/>
      <c r="R98" s="52"/>
      <c r="S98" s="49" t="str">
        <f aca="false">IF(B98="","",IF(OR(O98="",R98=""),"—",IF(O98&lt;=R98,"⚠ RÉAPPRO","OK")))</f>
        <v/>
      </c>
      <c r="T98" s="50"/>
      <c r="U98" s="50"/>
      <c r="V98" s="50"/>
      <c r="W98" s="50"/>
      <c r="X98" s="50"/>
      <c r="Y98" s="53" t="str">
        <f aca="false">IF(B98="","",IF(X98="","—",IF(X98="Non classé","Non classé",IFERROR(INDEX(RefH_Classe,MATCH(TRIM(LEFT(X98,FIND(",",X98&amp;",")-1)),RefH_Code,0)),"Code H inconnu"))))</f>
        <v/>
      </c>
      <c r="Z98" s="50"/>
      <c r="AA98" s="50"/>
      <c r="AB98" s="51"/>
      <c r="AC98" s="51"/>
      <c r="AD98" s="51"/>
      <c r="AE98" s="51"/>
      <c r="AF98" s="50"/>
      <c r="AG98" s="51"/>
      <c r="AH98" s="54"/>
      <c r="AI98" s="51"/>
      <c r="AJ98" s="55" t="str">
        <f aca="false">IF(AH98="","",EDATE(AH98,60))</f>
        <v/>
      </c>
      <c r="AK98" s="49" t="str">
        <f aca="true">IF(B98="","",IF(OR(AG98="Non",AH98=""),"FDS ABSENTE",IF(TODAY()&gt;=EDATE(AH98,60),"EXPIRÉE",IF(TODAY()&gt;=EDATE(AH98,54),"À RENOUVELER","CONFORME"))))</f>
        <v/>
      </c>
      <c r="AL98" s="50"/>
      <c r="AM98" s="54"/>
      <c r="AN98" s="54"/>
      <c r="AO98" s="50"/>
      <c r="AP98" s="50"/>
      <c r="AQ98" s="50"/>
      <c r="AR98" s="50"/>
      <c r="AS98" s="50"/>
      <c r="AT98" s="50"/>
      <c r="AU98" s="50"/>
      <c r="AV98" s="50"/>
      <c r="AW98" s="52"/>
      <c r="AX98" s="52"/>
      <c r="AY98" s="56" t="str">
        <f aca="false">IF(OR(AW98="",AX98=""),"",AW98*AX98)</f>
        <v/>
      </c>
      <c r="AZ98" s="52"/>
      <c r="BA98" s="56" t="str">
        <f aca="false">IF(AY98="","",IF(AZ98="",AY98,ROUNDUP(AY98/AZ98,0)))</f>
        <v/>
      </c>
      <c r="BB98" s="49" t="str">
        <f aca="false">IF(BA98="","",IF(BA98&gt;=15,"P1 – Critique",IF(BA98&gt;=8,"P2 – Élevée",IF(BA98&gt;=4,"P3 – Modérée","P4 – Faible"))))</f>
        <v/>
      </c>
      <c r="BC98" s="50"/>
      <c r="BD98" s="50"/>
      <c r="BE98" s="54"/>
      <c r="BF98" s="57"/>
      <c r="BG98" s="50"/>
      <c r="BH98" s="54"/>
      <c r="BI98" s="54"/>
      <c r="BJ98" s="50"/>
      <c r="BK98" s="50"/>
    </row>
    <row r="99" customFormat="false" ht="15" hidden="false" customHeight="false" outlineLevel="0" collapsed="false">
      <c r="A99" s="49" t="str">
        <f aca="false">IF(B99="","","PC-"&amp;TEXT(ROW()-2,"000"))</f>
        <v/>
      </c>
      <c r="B99" s="50"/>
      <c r="C99" s="50"/>
      <c r="D99" s="51"/>
      <c r="E99" s="51"/>
      <c r="F99" s="51"/>
      <c r="G99" s="50"/>
      <c r="H99" s="50"/>
      <c r="I99" s="50"/>
      <c r="J99" s="51"/>
      <c r="K99" s="50"/>
      <c r="L99" s="50"/>
      <c r="M99" s="50"/>
      <c r="N99" s="50"/>
      <c r="O99" s="52"/>
      <c r="P99" s="50"/>
      <c r="Q99" s="52"/>
      <c r="R99" s="52"/>
      <c r="S99" s="49" t="str">
        <f aca="false">IF(B99="","",IF(OR(O99="",R99=""),"—",IF(O99&lt;=R99,"⚠ RÉAPPRO","OK")))</f>
        <v/>
      </c>
      <c r="T99" s="50"/>
      <c r="U99" s="50"/>
      <c r="V99" s="50"/>
      <c r="W99" s="50"/>
      <c r="X99" s="50"/>
      <c r="Y99" s="53" t="str">
        <f aca="false">IF(B99="","",IF(X99="","—",IF(X99="Non classé","Non classé",IFERROR(INDEX(RefH_Classe,MATCH(TRIM(LEFT(X99,FIND(",",X99&amp;",")-1)),RefH_Code,0)),"Code H inconnu"))))</f>
        <v/>
      </c>
      <c r="Z99" s="50"/>
      <c r="AA99" s="50"/>
      <c r="AB99" s="51"/>
      <c r="AC99" s="51"/>
      <c r="AD99" s="51"/>
      <c r="AE99" s="51"/>
      <c r="AF99" s="50"/>
      <c r="AG99" s="51"/>
      <c r="AH99" s="54"/>
      <c r="AI99" s="51"/>
      <c r="AJ99" s="55" t="str">
        <f aca="false">IF(AH99="","",EDATE(AH99,60))</f>
        <v/>
      </c>
      <c r="AK99" s="49" t="str">
        <f aca="true">IF(B99="","",IF(OR(AG99="Non",AH99=""),"FDS ABSENTE",IF(TODAY()&gt;=EDATE(AH99,60),"EXPIRÉE",IF(TODAY()&gt;=EDATE(AH99,54),"À RENOUVELER","CONFORME"))))</f>
        <v/>
      </c>
      <c r="AL99" s="50"/>
      <c r="AM99" s="54"/>
      <c r="AN99" s="54"/>
      <c r="AO99" s="50"/>
      <c r="AP99" s="50"/>
      <c r="AQ99" s="50"/>
      <c r="AR99" s="50"/>
      <c r="AS99" s="50"/>
      <c r="AT99" s="50"/>
      <c r="AU99" s="50"/>
      <c r="AV99" s="50"/>
      <c r="AW99" s="52"/>
      <c r="AX99" s="52"/>
      <c r="AY99" s="56" t="str">
        <f aca="false">IF(OR(AW99="",AX99=""),"",AW99*AX99)</f>
        <v/>
      </c>
      <c r="AZ99" s="52"/>
      <c r="BA99" s="56" t="str">
        <f aca="false">IF(AY99="","",IF(AZ99="",AY99,ROUNDUP(AY99/AZ99,0)))</f>
        <v/>
      </c>
      <c r="BB99" s="49" t="str">
        <f aca="false">IF(BA99="","",IF(BA99&gt;=15,"P1 – Critique",IF(BA99&gt;=8,"P2 – Élevée",IF(BA99&gt;=4,"P3 – Modérée","P4 – Faible"))))</f>
        <v/>
      </c>
      <c r="BC99" s="50"/>
      <c r="BD99" s="50"/>
      <c r="BE99" s="54"/>
      <c r="BF99" s="57"/>
      <c r="BG99" s="50"/>
      <c r="BH99" s="54"/>
      <c r="BI99" s="54"/>
      <c r="BJ99" s="50"/>
      <c r="BK99" s="50"/>
    </row>
    <row r="100" customFormat="false" ht="15" hidden="false" customHeight="false" outlineLevel="0" collapsed="false">
      <c r="A100" s="49" t="str">
        <f aca="false">IF(B100="","","PC-"&amp;TEXT(ROW()-2,"000"))</f>
        <v/>
      </c>
      <c r="B100" s="50"/>
      <c r="C100" s="50"/>
      <c r="D100" s="51"/>
      <c r="E100" s="51"/>
      <c r="F100" s="51"/>
      <c r="G100" s="50"/>
      <c r="H100" s="50"/>
      <c r="I100" s="50"/>
      <c r="J100" s="51"/>
      <c r="K100" s="50"/>
      <c r="L100" s="50"/>
      <c r="M100" s="50"/>
      <c r="N100" s="50"/>
      <c r="O100" s="52"/>
      <c r="P100" s="50"/>
      <c r="Q100" s="52"/>
      <c r="R100" s="52"/>
      <c r="S100" s="49" t="str">
        <f aca="false">IF(B100="","",IF(OR(O100="",R100=""),"—",IF(O100&lt;=R100,"⚠ RÉAPPRO","OK")))</f>
        <v/>
      </c>
      <c r="T100" s="50"/>
      <c r="U100" s="50"/>
      <c r="V100" s="50"/>
      <c r="W100" s="50"/>
      <c r="X100" s="50"/>
      <c r="Y100" s="53" t="str">
        <f aca="false">IF(B100="","",IF(X100="","—",IF(X100="Non classé","Non classé",IFERROR(INDEX(RefH_Classe,MATCH(TRIM(LEFT(X100,FIND(",",X100&amp;",")-1)),RefH_Code,0)),"Code H inconnu"))))</f>
        <v/>
      </c>
      <c r="Z100" s="50"/>
      <c r="AA100" s="50"/>
      <c r="AB100" s="51"/>
      <c r="AC100" s="51"/>
      <c r="AD100" s="51"/>
      <c r="AE100" s="51"/>
      <c r="AF100" s="50"/>
      <c r="AG100" s="51"/>
      <c r="AH100" s="54"/>
      <c r="AI100" s="51"/>
      <c r="AJ100" s="55" t="str">
        <f aca="false">IF(AH100="","",EDATE(AH100,60))</f>
        <v/>
      </c>
      <c r="AK100" s="49" t="str">
        <f aca="true">IF(B100="","",IF(OR(AG100="Non",AH100=""),"FDS ABSENTE",IF(TODAY()&gt;=EDATE(AH100,60),"EXPIRÉE",IF(TODAY()&gt;=EDATE(AH100,54),"À RENOUVELER","CONFORME"))))</f>
        <v/>
      </c>
      <c r="AL100" s="50"/>
      <c r="AM100" s="54"/>
      <c r="AN100" s="54"/>
      <c r="AO100" s="50"/>
      <c r="AP100" s="50"/>
      <c r="AQ100" s="50"/>
      <c r="AR100" s="50"/>
      <c r="AS100" s="50"/>
      <c r="AT100" s="50"/>
      <c r="AU100" s="50"/>
      <c r="AV100" s="50"/>
      <c r="AW100" s="52"/>
      <c r="AX100" s="52"/>
      <c r="AY100" s="56" t="str">
        <f aca="false">IF(OR(AW100="",AX100=""),"",AW100*AX100)</f>
        <v/>
      </c>
      <c r="AZ100" s="52"/>
      <c r="BA100" s="56" t="str">
        <f aca="false">IF(AY100="","",IF(AZ100="",AY100,ROUNDUP(AY100/AZ100,0)))</f>
        <v/>
      </c>
      <c r="BB100" s="49" t="str">
        <f aca="false">IF(BA100="","",IF(BA100&gt;=15,"P1 – Critique",IF(BA100&gt;=8,"P2 – Élevée",IF(BA100&gt;=4,"P3 – Modérée","P4 – Faible"))))</f>
        <v/>
      </c>
      <c r="BC100" s="50"/>
      <c r="BD100" s="50"/>
      <c r="BE100" s="54"/>
      <c r="BF100" s="57"/>
      <c r="BG100" s="50"/>
      <c r="BH100" s="54"/>
      <c r="BI100" s="54"/>
      <c r="BJ100" s="50"/>
      <c r="BK100" s="50"/>
    </row>
    <row r="101" customFormat="false" ht="15" hidden="false" customHeight="false" outlineLevel="0" collapsed="false">
      <c r="A101" s="49" t="str">
        <f aca="false">IF(B101="","","PC-"&amp;TEXT(ROW()-2,"000"))</f>
        <v/>
      </c>
      <c r="B101" s="50"/>
      <c r="C101" s="50"/>
      <c r="D101" s="51"/>
      <c r="E101" s="51"/>
      <c r="F101" s="51"/>
      <c r="G101" s="50"/>
      <c r="H101" s="50"/>
      <c r="I101" s="50"/>
      <c r="J101" s="51"/>
      <c r="K101" s="50"/>
      <c r="L101" s="50"/>
      <c r="M101" s="50"/>
      <c r="N101" s="50"/>
      <c r="O101" s="52"/>
      <c r="P101" s="50"/>
      <c r="Q101" s="52"/>
      <c r="R101" s="52"/>
      <c r="S101" s="49" t="str">
        <f aca="false">IF(B101="","",IF(OR(O101="",R101=""),"—",IF(O101&lt;=R101,"⚠ RÉAPPRO","OK")))</f>
        <v/>
      </c>
      <c r="T101" s="50"/>
      <c r="U101" s="50"/>
      <c r="V101" s="50"/>
      <c r="W101" s="50"/>
      <c r="X101" s="50"/>
      <c r="Y101" s="53" t="str">
        <f aca="false">IF(B101="","",IF(X101="","—",IF(X101="Non classé","Non classé",IFERROR(INDEX(RefH_Classe,MATCH(TRIM(LEFT(X101,FIND(",",X101&amp;",")-1)),RefH_Code,0)),"Code H inconnu"))))</f>
        <v/>
      </c>
      <c r="Z101" s="50"/>
      <c r="AA101" s="50"/>
      <c r="AB101" s="51"/>
      <c r="AC101" s="51"/>
      <c r="AD101" s="51"/>
      <c r="AE101" s="51"/>
      <c r="AF101" s="50"/>
      <c r="AG101" s="51"/>
      <c r="AH101" s="54"/>
      <c r="AI101" s="51"/>
      <c r="AJ101" s="55" t="str">
        <f aca="false">IF(AH101="","",EDATE(AH101,60))</f>
        <v/>
      </c>
      <c r="AK101" s="49" t="str">
        <f aca="true">IF(B101="","",IF(OR(AG101="Non",AH101=""),"FDS ABSENTE",IF(TODAY()&gt;=EDATE(AH101,60),"EXPIRÉE",IF(TODAY()&gt;=EDATE(AH101,54),"À RENOUVELER","CONFORME"))))</f>
        <v/>
      </c>
      <c r="AL101" s="50"/>
      <c r="AM101" s="54"/>
      <c r="AN101" s="54"/>
      <c r="AO101" s="50"/>
      <c r="AP101" s="50"/>
      <c r="AQ101" s="50"/>
      <c r="AR101" s="50"/>
      <c r="AS101" s="50"/>
      <c r="AT101" s="50"/>
      <c r="AU101" s="50"/>
      <c r="AV101" s="50"/>
      <c r="AW101" s="52"/>
      <c r="AX101" s="52"/>
      <c r="AY101" s="56" t="str">
        <f aca="false">IF(OR(AW101="",AX101=""),"",AW101*AX101)</f>
        <v/>
      </c>
      <c r="AZ101" s="52"/>
      <c r="BA101" s="56" t="str">
        <f aca="false">IF(AY101="","",IF(AZ101="",AY101,ROUNDUP(AY101/AZ101,0)))</f>
        <v/>
      </c>
      <c r="BB101" s="49" t="str">
        <f aca="false">IF(BA101="","",IF(BA101&gt;=15,"P1 – Critique",IF(BA101&gt;=8,"P2 – Élevée",IF(BA101&gt;=4,"P3 – Modérée","P4 – Faible"))))</f>
        <v/>
      </c>
      <c r="BC101" s="50"/>
      <c r="BD101" s="50"/>
      <c r="BE101" s="54"/>
      <c r="BF101" s="57"/>
      <c r="BG101" s="50"/>
      <c r="BH101" s="54"/>
      <c r="BI101" s="54"/>
      <c r="BJ101" s="50"/>
      <c r="BK101" s="50"/>
    </row>
    <row r="102" customFormat="false" ht="15" hidden="false" customHeight="false" outlineLevel="0" collapsed="false">
      <c r="A102" s="49" t="str">
        <f aca="false">IF(B102="","","PC-"&amp;TEXT(ROW()-2,"000"))</f>
        <v/>
      </c>
      <c r="B102" s="50"/>
      <c r="C102" s="50"/>
      <c r="D102" s="51"/>
      <c r="E102" s="51"/>
      <c r="F102" s="51"/>
      <c r="G102" s="50"/>
      <c r="H102" s="50"/>
      <c r="I102" s="50"/>
      <c r="J102" s="51"/>
      <c r="K102" s="50"/>
      <c r="L102" s="50"/>
      <c r="M102" s="50"/>
      <c r="N102" s="50"/>
      <c r="O102" s="52"/>
      <c r="P102" s="50"/>
      <c r="Q102" s="52"/>
      <c r="R102" s="52"/>
      <c r="S102" s="49" t="str">
        <f aca="false">IF(B102="","",IF(OR(O102="",R102=""),"—",IF(O102&lt;=R102,"⚠ RÉAPPRO","OK")))</f>
        <v/>
      </c>
      <c r="T102" s="50"/>
      <c r="U102" s="50"/>
      <c r="V102" s="50"/>
      <c r="W102" s="50"/>
      <c r="X102" s="50"/>
      <c r="Y102" s="53" t="str">
        <f aca="false">IF(B102="","",IF(X102="","—",IF(X102="Non classé","Non classé",IFERROR(INDEX(RefH_Classe,MATCH(TRIM(LEFT(X102,FIND(",",X102&amp;",")-1)),RefH_Code,0)),"Code H inconnu"))))</f>
        <v/>
      </c>
      <c r="Z102" s="50"/>
      <c r="AA102" s="50"/>
      <c r="AB102" s="51"/>
      <c r="AC102" s="51"/>
      <c r="AD102" s="51"/>
      <c r="AE102" s="51"/>
      <c r="AF102" s="50"/>
      <c r="AG102" s="51"/>
      <c r="AH102" s="54"/>
      <c r="AI102" s="51"/>
      <c r="AJ102" s="55" t="str">
        <f aca="false">IF(AH102="","",EDATE(AH102,60))</f>
        <v/>
      </c>
      <c r="AK102" s="49" t="str">
        <f aca="true">IF(B102="","",IF(OR(AG102="Non",AH102=""),"FDS ABSENTE",IF(TODAY()&gt;=EDATE(AH102,60),"EXPIRÉE",IF(TODAY()&gt;=EDATE(AH102,54),"À RENOUVELER","CONFORME"))))</f>
        <v/>
      </c>
      <c r="AL102" s="50"/>
      <c r="AM102" s="54"/>
      <c r="AN102" s="54"/>
      <c r="AO102" s="50"/>
      <c r="AP102" s="50"/>
      <c r="AQ102" s="50"/>
      <c r="AR102" s="50"/>
      <c r="AS102" s="50"/>
      <c r="AT102" s="50"/>
      <c r="AU102" s="50"/>
      <c r="AV102" s="50"/>
      <c r="AW102" s="52"/>
      <c r="AX102" s="52"/>
      <c r="AY102" s="56" t="str">
        <f aca="false">IF(OR(AW102="",AX102=""),"",AW102*AX102)</f>
        <v/>
      </c>
      <c r="AZ102" s="52"/>
      <c r="BA102" s="56" t="str">
        <f aca="false">IF(AY102="","",IF(AZ102="",AY102,ROUNDUP(AY102/AZ102,0)))</f>
        <v/>
      </c>
      <c r="BB102" s="49" t="str">
        <f aca="false">IF(BA102="","",IF(BA102&gt;=15,"P1 – Critique",IF(BA102&gt;=8,"P2 – Élevée",IF(BA102&gt;=4,"P3 – Modérée","P4 – Faible"))))</f>
        <v/>
      </c>
      <c r="BC102" s="50"/>
      <c r="BD102" s="50"/>
      <c r="BE102" s="54"/>
      <c r="BF102" s="57"/>
      <c r="BG102" s="50"/>
      <c r="BH102" s="54"/>
      <c r="BI102" s="54"/>
      <c r="BJ102" s="50"/>
      <c r="BK102" s="50"/>
    </row>
    <row r="103" customFormat="false" ht="15" hidden="false" customHeight="false" outlineLevel="0" collapsed="false">
      <c r="A103" s="49" t="str">
        <f aca="false">IF(B103="","","PC-"&amp;TEXT(ROW()-2,"000"))</f>
        <v/>
      </c>
      <c r="B103" s="50"/>
      <c r="C103" s="50"/>
      <c r="D103" s="51"/>
      <c r="E103" s="51"/>
      <c r="F103" s="51"/>
      <c r="G103" s="50"/>
      <c r="H103" s="50"/>
      <c r="I103" s="50"/>
      <c r="J103" s="51"/>
      <c r="K103" s="50"/>
      <c r="L103" s="50"/>
      <c r="M103" s="50"/>
      <c r="N103" s="50"/>
      <c r="O103" s="52"/>
      <c r="P103" s="50"/>
      <c r="Q103" s="52"/>
      <c r="R103" s="52"/>
      <c r="S103" s="49" t="str">
        <f aca="false">IF(B103="","",IF(OR(O103="",R103=""),"—",IF(O103&lt;=R103,"⚠ RÉAPPRO","OK")))</f>
        <v/>
      </c>
      <c r="T103" s="50"/>
      <c r="U103" s="50"/>
      <c r="V103" s="50"/>
      <c r="W103" s="50"/>
      <c r="X103" s="50"/>
      <c r="Y103" s="53" t="str">
        <f aca="false">IF(B103="","",IF(X103="","—",IF(X103="Non classé","Non classé",IFERROR(INDEX(RefH_Classe,MATCH(TRIM(LEFT(X103,FIND(",",X103&amp;",")-1)),RefH_Code,0)),"Code H inconnu"))))</f>
        <v/>
      </c>
      <c r="Z103" s="50"/>
      <c r="AA103" s="50"/>
      <c r="AB103" s="51"/>
      <c r="AC103" s="51"/>
      <c r="AD103" s="51"/>
      <c r="AE103" s="51"/>
      <c r="AF103" s="50"/>
      <c r="AG103" s="51"/>
      <c r="AH103" s="54"/>
      <c r="AI103" s="51"/>
      <c r="AJ103" s="55" t="str">
        <f aca="false">IF(AH103="","",EDATE(AH103,60))</f>
        <v/>
      </c>
      <c r="AK103" s="49" t="str">
        <f aca="true">IF(B103="","",IF(OR(AG103="Non",AH103=""),"FDS ABSENTE",IF(TODAY()&gt;=EDATE(AH103,60),"EXPIRÉE",IF(TODAY()&gt;=EDATE(AH103,54),"À RENOUVELER","CONFORME"))))</f>
        <v/>
      </c>
      <c r="AL103" s="50"/>
      <c r="AM103" s="54"/>
      <c r="AN103" s="54"/>
      <c r="AO103" s="50"/>
      <c r="AP103" s="50"/>
      <c r="AQ103" s="50"/>
      <c r="AR103" s="50"/>
      <c r="AS103" s="50"/>
      <c r="AT103" s="50"/>
      <c r="AU103" s="50"/>
      <c r="AV103" s="50"/>
      <c r="AW103" s="52"/>
      <c r="AX103" s="52"/>
      <c r="AY103" s="56" t="str">
        <f aca="false">IF(OR(AW103="",AX103=""),"",AW103*AX103)</f>
        <v/>
      </c>
      <c r="AZ103" s="52"/>
      <c r="BA103" s="56" t="str">
        <f aca="false">IF(AY103="","",IF(AZ103="",AY103,ROUNDUP(AY103/AZ103,0)))</f>
        <v/>
      </c>
      <c r="BB103" s="49" t="str">
        <f aca="false">IF(BA103="","",IF(BA103&gt;=15,"P1 – Critique",IF(BA103&gt;=8,"P2 – Élevée",IF(BA103&gt;=4,"P3 – Modérée","P4 – Faible"))))</f>
        <v/>
      </c>
      <c r="BC103" s="50"/>
      <c r="BD103" s="50"/>
      <c r="BE103" s="54"/>
      <c r="BF103" s="57"/>
      <c r="BG103" s="50"/>
      <c r="BH103" s="54"/>
      <c r="BI103" s="54"/>
      <c r="BJ103" s="50"/>
      <c r="BK103" s="50"/>
    </row>
    <row r="104" customFormat="false" ht="15" hidden="false" customHeight="false" outlineLevel="0" collapsed="false">
      <c r="A104" s="49" t="str">
        <f aca="false">IF(B104="","","PC-"&amp;TEXT(ROW()-2,"000"))</f>
        <v/>
      </c>
      <c r="B104" s="50"/>
      <c r="C104" s="50"/>
      <c r="D104" s="51"/>
      <c r="E104" s="51"/>
      <c r="F104" s="51"/>
      <c r="G104" s="50"/>
      <c r="H104" s="50"/>
      <c r="I104" s="50"/>
      <c r="J104" s="51"/>
      <c r="K104" s="50"/>
      <c r="L104" s="50"/>
      <c r="M104" s="50"/>
      <c r="N104" s="50"/>
      <c r="O104" s="52"/>
      <c r="P104" s="50"/>
      <c r="Q104" s="52"/>
      <c r="R104" s="52"/>
      <c r="S104" s="49" t="str">
        <f aca="false">IF(B104="","",IF(OR(O104="",R104=""),"—",IF(O104&lt;=R104,"⚠ RÉAPPRO","OK")))</f>
        <v/>
      </c>
      <c r="T104" s="50"/>
      <c r="U104" s="50"/>
      <c r="V104" s="50"/>
      <c r="W104" s="50"/>
      <c r="X104" s="50"/>
      <c r="Y104" s="53" t="str">
        <f aca="false">IF(B104="","",IF(X104="","—",IF(X104="Non classé","Non classé",IFERROR(INDEX(RefH_Classe,MATCH(TRIM(LEFT(X104,FIND(",",X104&amp;",")-1)),RefH_Code,0)),"Code H inconnu"))))</f>
        <v/>
      </c>
      <c r="Z104" s="50"/>
      <c r="AA104" s="50"/>
      <c r="AB104" s="51"/>
      <c r="AC104" s="51"/>
      <c r="AD104" s="51"/>
      <c r="AE104" s="51"/>
      <c r="AF104" s="50"/>
      <c r="AG104" s="51"/>
      <c r="AH104" s="54"/>
      <c r="AI104" s="51"/>
      <c r="AJ104" s="55" t="str">
        <f aca="false">IF(AH104="","",EDATE(AH104,60))</f>
        <v/>
      </c>
      <c r="AK104" s="49" t="str">
        <f aca="true">IF(B104="","",IF(OR(AG104="Non",AH104=""),"FDS ABSENTE",IF(TODAY()&gt;=EDATE(AH104,60),"EXPIRÉE",IF(TODAY()&gt;=EDATE(AH104,54),"À RENOUVELER","CONFORME"))))</f>
        <v/>
      </c>
      <c r="AL104" s="50"/>
      <c r="AM104" s="54"/>
      <c r="AN104" s="54"/>
      <c r="AO104" s="50"/>
      <c r="AP104" s="50"/>
      <c r="AQ104" s="50"/>
      <c r="AR104" s="50"/>
      <c r="AS104" s="50"/>
      <c r="AT104" s="50"/>
      <c r="AU104" s="50"/>
      <c r="AV104" s="50"/>
      <c r="AW104" s="52"/>
      <c r="AX104" s="52"/>
      <c r="AY104" s="56" t="str">
        <f aca="false">IF(OR(AW104="",AX104=""),"",AW104*AX104)</f>
        <v/>
      </c>
      <c r="AZ104" s="52"/>
      <c r="BA104" s="56" t="str">
        <f aca="false">IF(AY104="","",IF(AZ104="",AY104,ROUNDUP(AY104/AZ104,0)))</f>
        <v/>
      </c>
      <c r="BB104" s="49" t="str">
        <f aca="false">IF(BA104="","",IF(BA104&gt;=15,"P1 – Critique",IF(BA104&gt;=8,"P2 – Élevée",IF(BA104&gt;=4,"P3 – Modérée","P4 – Faible"))))</f>
        <v/>
      </c>
      <c r="BC104" s="50"/>
      <c r="BD104" s="50"/>
      <c r="BE104" s="54"/>
      <c r="BF104" s="57"/>
      <c r="BG104" s="50"/>
      <c r="BH104" s="54"/>
      <c r="BI104" s="54"/>
      <c r="BJ104" s="50"/>
      <c r="BK104" s="50"/>
    </row>
    <row r="105" customFormat="false" ht="15" hidden="false" customHeight="false" outlineLevel="0" collapsed="false">
      <c r="A105" s="49" t="str">
        <f aca="false">IF(B105="","","PC-"&amp;TEXT(ROW()-2,"000"))</f>
        <v/>
      </c>
      <c r="B105" s="50"/>
      <c r="C105" s="50"/>
      <c r="D105" s="51"/>
      <c r="E105" s="51"/>
      <c r="F105" s="51"/>
      <c r="G105" s="50"/>
      <c r="H105" s="50"/>
      <c r="I105" s="50"/>
      <c r="J105" s="51"/>
      <c r="K105" s="50"/>
      <c r="L105" s="50"/>
      <c r="M105" s="50"/>
      <c r="N105" s="50"/>
      <c r="O105" s="52"/>
      <c r="P105" s="50"/>
      <c r="Q105" s="52"/>
      <c r="R105" s="52"/>
      <c r="S105" s="49" t="str">
        <f aca="false">IF(B105="","",IF(OR(O105="",R105=""),"—",IF(O105&lt;=R105,"⚠ RÉAPPRO","OK")))</f>
        <v/>
      </c>
      <c r="T105" s="50"/>
      <c r="U105" s="50"/>
      <c r="V105" s="50"/>
      <c r="W105" s="50"/>
      <c r="X105" s="50"/>
      <c r="Y105" s="53" t="str">
        <f aca="false">IF(B105="","",IF(X105="","—",IF(X105="Non classé","Non classé",IFERROR(INDEX(RefH_Classe,MATCH(TRIM(LEFT(X105,FIND(",",X105&amp;",")-1)),RefH_Code,0)),"Code H inconnu"))))</f>
        <v/>
      </c>
      <c r="Z105" s="50"/>
      <c r="AA105" s="50"/>
      <c r="AB105" s="51"/>
      <c r="AC105" s="51"/>
      <c r="AD105" s="51"/>
      <c r="AE105" s="51"/>
      <c r="AF105" s="50"/>
      <c r="AG105" s="51"/>
      <c r="AH105" s="54"/>
      <c r="AI105" s="51"/>
      <c r="AJ105" s="55" t="str">
        <f aca="false">IF(AH105="","",EDATE(AH105,60))</f>
        <v/>
      </c>
      <c r="AK105" s="49" t="str">
        <f aca="true">IF(B105="","",IF(OR(AG105="Non",AH105=""),"FDS ABSENTE",IF(TODAY()&gt;=EDATE(AH105,60),"EXPIRÉE",IF(TODAY()&gt;=EDATE(AH105,54),"À RENOUVELER","CONFORME"))))</f>
        <v/>
      </c>
      <c r="AL105" s="50"/>
      <c r="AM105" s="54"/>
      <c r="AN105" s="54"/>
      <c r="AO105" s="50"/>
      <c r="AP105" s="50"/>
      <c r="AQ105" s="50"/>
      <c r="AR105" s="50"/>
      <c r="AS105" s="50"/>
      <c r="AT105" s="50"/>
      <c r="AU105" s="50"/>
      <c r="AV105" s="50"/>
      <c r="AW105" s="52"/>
      <c r="AX105" s="52"/>
      <c r="AY105" s="56" t="str">
        <f aca="false">IF(OR(AW105="",AX105=""),"",AW105*AX105)</f>
        <v/>
      </c>
      <c r="AZ105" s="52"/>
      <c r="BA105" s="56" t="str">
        <f aca="false">IF(AY105="","",IF(AZ105="",AY105,ROUNDUP(AY105/AZ105,0)))</f>
        <v/>
      </c>
      <c r="BB105" s="49" t="str">
        <f aca="false">IF(BA105="","",IF(BA105&gt;=15,"P1 – Critique",IF(BA105&gt;=8,"P2 – Élevée",IF(BA105&gt;=4,"P3 – Modérée","P4 – Faible"))))</f>
        <v/>
      </c>
      <c r="BC105" s="50"/>
      <c r="BD105" s="50"/>
      <c r="BE105" s="54"/>
      <c r="BF105" s="57"/>
      <c r="BG105" s="50"/>
      <c r="BH105" s="54"/>
      <c r="BI105" s="54"/>
      <c r="BJ105" s="50"/>
      <c r="BK105" s="50"/>
    </row>
    <row r="106" customFormat="false" ht="15" hidden="false" customHeight="false" outlineLevel="0" collapsed="false">
      <c r="A106" s="49" t="str">
        <f aca="false">IF(B106="","","PC-"&amp;TEXT(ROW()-2,"000"))</f>
        <v/>
      </c>
      <c r="B106" s="50"/>
      <c r="C106" s="50"/>
      <c r="D106" s="51"/>
      <c r="E106" s="51"/>
      <c r="F106" s="51"/>
      <c r="G106" s="50"/>
      <c r="H106" s="50"/>
      <c r="I106" s="50"/>
      <c r="J106" s="51"/>
      <c r="K106" s="50"/>
      <c r="L106" s="50"/>
      <c r="M106" s="50"/>
      <c r="N106" s="50"/>
      <c r="O106" s="52"/>
      <c r="P106" s="50"/>
      <c r="Q106" s="52"/>
      <c r="R106" s="52"/>
      <c r="S106" s="49" t="str">
        <f aca="false">IF(B106="","",IF(OR(O106="",R106=""),"—",IF(O106&lt;=R106,"⚠ RÉAPPRO","OK")))</f>
        <v/>
      </c>
      <c r="T106" s="50"/>
      <c r="U106" s="50"/>
      <c r="V106" s="50"/>
      <c r="W106" s="50"/>
      <c r="X106" s="50"/>
      <c r="Y106" s="53" t="str">
        <f aca="false">IF(B106="","",IF(X106="","—",IF(X106="Non classé","Non classé",IFERROR(INDEX(RefH_Classe,MATCH(TRIM(LEFT(X106,FIND(",",X106&amp;",")-1)),RefH_Code,0)),"Code H inconnu"))))</f>
        <v/>
      </c>
      <c r="Z106" s="50"/>
      <c r="AA106" s="50"/>
      <c r="AB106" s="51"/>
      <c r="AC106" s="51"/>
      <c r="AD106" s="51"/>
      <c r="AE106" s="51"/>
      <c r="AF106" s="50"/>
      <c r="AG106" s="51"/>
      <c r="AH106" s="54"/>
      <c r="AI106" s="51"/>
      <c r="AJ106" s="55" t="str">
        <f aca="false">IF(AH106="","",EDATE(AH106,60))</f>
        <v/>
      </c>
      <c r="AK106" s="49" t="str">
        <f aca="true">IF(B106="","",IF(OR(AG106="Non",AH106=""),"FDS ABSENTE",IF(TODAY()&gt;=EDATE(AH106,60),"EXPIRÉE",IF(TODAY()&gt;=EDATE(AH106,54),"À RENOUVELER","CONFORME"))))</f>
        <v/>
      </c>
      <c r="AL106" s="50"/>
      <c r="AM106" s="54"/>
      <c r="AN106" s="54"/>
      <c r="AO106" s="50"/>
      <c r="AP106" s="50"/>
      <c r="AQ106" s="50"/>
      <c r="AR106" s="50"/>
      <c r="AS106" s="50"/>
      <c r="AT106" s="50"/>
      <c r="AU106" s="50"/>
      <c r="AV106" s="50"/>
      <c r="AW106" s="52"/>
      <c r="AX106" s="52"/>
      <c r="AY106" s="56" t="str">
        <f aca="false">IF(OR(AW106="",AX106=""),"",AW106*AX106)</f>
        <v/>
      </c>
      <c r="AZ106" s="52"/>
      <c r="BA106" s="56" t="str">
        <f aca="false">IF(AY106="","",IF(AZ106="",AY106,ROUNDUP(AY106/AZ106,0)))</f>
        <v/>
      </c>
      <c r="BB106" s="49" t="str">
        <f aca="false">IF(BA106="","",IF(BA106&gt;=15,"P1 – Critique",IF(BA106&gt;=8,"P2 – Élevée",IF(BA106&gt;=4,"P3 – Modérée","P4 – Faible"))))</f>
        <v/>
      </c>
      <c r="BC106" s="50"/>
      <c r="BD106" s="50"/>
      <c r="BE106" s="54"/>
      <c r="BF106" s="57"/>
      <c r="BG106" s="50"/>
      <c r="BH106" s="54"/>
      <c r="BI106" s="54"/>
      <c r="BJ106" s="50"/>
      <c r="BK106" s="50"/>
    </row>
    <row r="107" customFormat="false" ht="15" hidden="false" customHeight="false" outlineLevel="0" collapsed="false">
      <c r="A107" s="49" t="str">
        <f aca="false">IF(B107="","","PC-"&amp;TEXT(ROW()-2,"000"))</f>
        <v/>
      </c>
      <c r="B107" s="50"/>
      <c r="C107" s="50"/>
      <c r="D107" s="51"/>
      <c r="E107" s="51"/>
      <c r="F107" s="51"/>
      <c r="G107" s="50"/>
      <c r="H107" s="50"/>
      <c r="I107" s="50"/>
      <c r="J107" s="51"/>
      <c r="K107" s="50"/>
      <c r="L107" s="50"/>
      <c r="M107" s="50"/>
      <c r="N107" s="50"/>
      <c r="O107" s="52"/>
      <c r="P107" s="50"/>
      <c r="Q107" s="52"/>
      <c r="R107" s="52"/>
      <c r="S107" s="49" t="str">
        <f aca="false">IF(B107="","",IF(OR(O107="",R107=""),"—",IF(O107&lt;=R107,"⚠ RÉAPPRO","OK")))</f>
        <v/>
      </c>
      <c r="T107" s="50"/>
      <c r="U107" s="50"/>
      <c r="V107" s="50"/>
      <c r="W107" s="50"/>
      <c r="X107" s="50"/>
      <c r="Y107" s="53" t="str">
        <f aca="false">IF(B107="","",IF(X107="","—",IF(X107="Non classé","Non classé",IFERROR(INDEX(RefH_Classe,MATCH(TRIM(LEFT(X107,FIND(",",X107&amp;",")-1)),RefH_Code,0)),"Code H inconnu"))))</f>
        <v/>
      </c>
      <c r="Z107" s="50"/>
      <c r="AA107" s="50"/>
      <c r="AB107" s="51"/>
      <c r="AC107" s="51"/>
      <c r="AD107" s="51"/>
      <c r="AE107" s="51"/>
      <c r="AF107" s="50"/>
      <c r="AG107" s="51"/>
      <c r="AH107" s="54"/>
      <c r="AI107" s="51"/>
      <c r="AJ107" s="55" t="str">
        <f aca="false">IF(AH107="","",EDATE(AH107,60))</f>
        <v/>
      </c>
      <c r="AK107" s="49" t="str">
        <f aca="true">IF(B107="","",IF(OR(AG107="Non",AH107=""),"FDS ABSENTE",IF(TODAY()&gt;=EDATE(AH107,60),"EXPIRÉE",IF(TODAY()&gt;=EDATE(AH107,54),"À RENOUVELER","CONFORME"))))</f>
        <v/>
      </c>
      <c r="AL107" s="50"/>
      <c r="AM107" s="54"/>
      <c r="AN107" s="54"/>
      <c r="AO107" s="50"/>
      <c r="AP107" s="50"/>
      <c r="AQ107" s="50"/>
      <c r="AR107" s="50"/>
      <c r="AS107" s="50"/>
      <c r="AT107" s="50"/>
      <c r="AU107" s="50"/>
      <c r="AV107" s="50"/>
      <c r="AW107" s="52"/>
      <c r="AX107" s="52"/>
      <c r="AY107" s="56" t="str">
        <f aca="false">IF(OR(AW107="",AX107=""),"",AW107*AX107)</f>
        <v/>
      </c>
      <c r="AZ107" s="52"/>
      <c r="BA107" s="56" t="str">
        <f aca="false">IF(AY107="","",IF(AZ107="",AY107,ROUNDUP(AY107/AZ107,0)))</f>
        <v/>
      </c>
      <c r="BB107" s="49" t="str">
        <f aca="false">IF(BA107="","",IF(BA107&gt;=15,"P1 – Critique",IF(BA107&gt;=8,"P2 – Élevée",IF(BA107&gt;=4,"P3 – Modérée","P4 – Faible"))))</f>
        <v/>
      </c>
      <c r="BC107" s="50"/>
      <c r="BD107" s="50"/>
      <c r="BE107" s="54"/>
      <c r="BF107" s="57"/>
      <c r="BG107" s="50"/>
      <c r="BH107" s="54"/>
      <c r="BI107" s="54"/>
      <c r="BJ107" s="50"/>
      <c r="BK107" s="50"/>
    </row>
    <row r="108" customFormat="false" ht="15" hidden="false" customHeight="false" outlineLevel="0" collapsed="false">
      <c r="A108" s="49" t="str">
        <f aca="false">IF(B108="","","PC-"&amp;TEXT(ROW()-2,"000"))</f>
        <v/>
      </c>
      <c r="B108" s="50"/>
      <c r="C108" s="50"/>
      <c r="D108" s="51"/>
      <c r="E108" s="51"/>
      <c r="F108" s="51"/>
      <c r="G108" s="50"/>
      <c r="H108" s="50"/>
      <c r="I108" s="50"/>
      <c r="J108" s="51"/>
      <c r="K108" s="50"/>
      <c r="L108" s="50"/>
      <c r="M108" s="50"/>
      <c r="N108" s="50"/>
      <c r="O108" s="52"/>
      <c r="P108" s="50"/>
      <c r="Q108" s="52"/>
      <c r="R108" s="52"/>
      <c r="S108" s="49" t="str">
        <f aca="false">IF(B108="","",IF(OR(O108="",R108=""),"—",IF(O108&lt;=R108,"⚠ RÉAPPRO","OK")))</f>
        <v/>
      </c>
      <c r="T108" s="50"/>
      <c r="U108" s="50"/>
      <c r="V108" s="50"/>
      <c r="W108" s="50"/>
      <c r="X108" s="50"/>
      <c r="Y108" s="53" t="str">
        <f aca="false">IF(B108="","",IF(X108="","—",IF(X108="Non classé","Non classé",IFERROR(INDEX(RefH_Classe,MATCH(TRIM(LEFT(X108,FIND(",",X108&amp;",")-1)),RefH_Code,0)),"Code H inconnu"))))</f>
        <v/>
      </c>
      <c r="Z108" s="50"/>
      <c r="AA108" s="50"/>
      <c r="AB108" s="51"/>
      <c r="AC108" s="51"/>
      <c r="AD108" s="51"/>
      <c r="AE108" s="51"/>
      <c r="AF108" s="50"/>
      <c r="AG108" s="51"/>
      <c r="AH108" s="54"/>
      <c r="AI108" s="51"/>
      <c r="AJ108" s="55" t="str">
        <f aca="false">IF(AH108="","",EDATE(AH108,60))</f>
        <v/>
      </c>
      <c r="AK108" s="49" t="str">
        <f aca="true">IF(B108="","",IF(OR(AG108="Non",AH108=""),"FDS ABSENTE",IF(TODAY()&gt;=EDATE(AH108,60),"EXPIRÉE",IF(TODAY()&gt;=EDATE(AH108,54),"À RENOUVELER","CONFORME"))))</f>
        <v/>
      </c>
      <c r="AL108" s="50"/>
      <c r="AM108" s="54"/>
      <c r="AN108" s="54"/>
      <c r="AO108" s="50"/>
      <c r="AP108" s="50"/>
      <c r="AQ108" s="50"/>
      <c r="AR108" s="50"/>
      <c r="AS108" s="50"/>
      <c r="AT108" s="50"/>
      <c r="AU108" s="50"/>
      <c r="AV108" s="50"/>
      <c r="AW108" s="52"/>
      <c r="AX108" s="52"/>
      <c r="AY108" s="56" t="str">
        <f aca="false">IF(OR(AW108="",AX108=""),"",AW108*AX108)</f>
        <v/>
      </c>
      <c r="AZ108" s="52"/>
      <c r="BA108" s="56" t="str">
        <f aca="false">IF(AY108="","",IF(AZ108="",AY108,ROUNDUP(AY108/AZ108,0)))</f>
        <v/>
      </c>
      <c r="BB108" s="49" t="str">
        <f aca="false">IF(BA108="","",IF(BA108&gt;=15,"P1 – Critique",IF(BA108&gt;=8,"P2 – Élevée",IF(BA108&gt;=4,"P3 – Modérée","P4 – Faible"))))</f>
        <v/>
      </c>
      <c r="BC108" s="50"/>
      <c r="BD108" s="50"/>
      <c r="BE108" s="54"/>
      <c r="BF108" s="57"/>
      <c r="BG108" s="50"/>
      <c r="BH108" s="54"/>
      <c r="BI108" s="54"/>
      <c r="BJ108" s="50"/>
      <c r="BK108" s="50"/>
    </row>
    <row r="109" customFormat="false" ht="15" hidden="false" customHeight="false" outlineLevel="0" collapsed="false">
      <c r="A109" s="49" t="str">
        <f aca="false">IF(B109="","","PC-"&amp;TEXT(ROW()-2,"000"))</f>
        <v/>
      </c>
      <c r="B109" s="50"/>
      <c r="C109" s="50"/>
      <c r="D109" s="51"/>
      <c r="E109" s="51"/>
      <c r="F109" s="51"/>
      <c r="G109" s="50"/>
      <c r="H109" s="50"/>
      <c r="I109" s="50"/>
      <c r="J109" s="51"/>
      <c r="K109" s="50"/>
      <c r="L109" s="50"/>
      <c r="M109" s="50"/>
      <c r="N109" s="50"/>
      <c r="O109" s="52"/>
      <c r="P109" s="50"/>
      <c r="Q109" s="52"/>
      <c r="R109" s="52"/>
      <c r="S109" s="49" t="str">
        <f aca="false">IF(B109="","",IF(OR(O109="",R109=""),"—",IF(O109&lt;=R109,"⚠ RÉAPPRO","OK")))</f>
        <v/>
      </c>
      <c r="T109" s="50"/>
      <c r="U109" s="50"/>
      <c r="V109" s="50"/>
      <c r="W109" s="50"/>
      <c r="X109" s="50"/>
      <c r="Y109" s="53" t="str">
        <f aca="false">IF(B109="","",IF(X109="","—",IF(X109="Non classé","Non classé",IFERROR(INDEX(RefH_Classe,MATCH(TRIM(LEFT(X109,FIND(",",X109&amp;",")-1)),RefH_Code,0)),"Code H inconnu"))))</f>
        <v/>
      </c>
      <c r="Z109" s="50"/>
      <c r="AA109" s="50"/>
      <c r="AB109" s="51"/>
      <c r="AC109" s="51"/>
      <c r="AD109" s="51"/>
      <c r="AE109" s="51"/>
      <c r="AF109" s="50"/>
      <c r="AG109" s="51"/>
      <c r="AH109" s="54"/>
      <c r="AI109" s="51"/>
      <c r="AJ109" s="55" t="str">
        <f aca="false">IF(AH109="","",EDATE(AH109,60))</f>
        <v/>
      </c>
      <c r="AK109" s="49" t="str">
        <f aca="true">IF(B109="","",IF(OR(AG109="Non",AH109=""),"FDS ABSENTE",IF(TODAY()&gt;=EDATE(AH109,60),"EXPIRÉE",IF(TODAY()&gt;=EDATE(AH109,54),"À RENOUVELER","CONFORME"))))</f>
        <v/>
      </c>
      <c r="AL109" s="50"/>
      <c r="AM109" s="54"/>
      <c r="AN109" s="54"/>
      <c r="AO109" s="50"/>
      <c r="AP109" s="50"/>
      <c r="AQ109" s="50"/>
      <c r="AR109" s="50"/>
      <c r="AS109" s="50"/>
      <c r="AT109" s="50"/>
      <c r="AU109" s="50"/>
      <c r="AV109" s="50"/>
      <c r="AW109" s="52"/>
      <c r="AX109" s="52"/>
      <c r="AY109" s="56" t="str">
        <f aca="false">IF(OR(AW109="",AX109=""),"",AW109*AX109)</f>
        <v/>
      </c>
      <c r="AZ109" s="52"/>
      <c r="BA109" s="56" t="str">
        <f aca="false">IF(AY109="","",IF(AZ109="",AY109,ROUNDUP(AY109/AZ109,0)))</f>
        <v/>
      </c>
      <c r="BB109" s="49" t="str">
        <f aca="false">IF(BA109="","",IF(BA109&gt;=15,"P1 – Critique",IF(BA109&gt;=8,"P2 – Élevée",IF(BA109&gt;=4,"P3 – Modérée","P4 – Faible"))))</f>
        <v/>
      </c>
      <c r="BC109" s="50"/>
      <c r="BD109" s="50"/>
      <c r="BE109" s="54"/>
      <c r="BF109" s="57"/>
      <c r="BG109" s="50"/>
      <c r="BH109" s="54"/>
      <c r="BI109" s="54"/>
      <c r="BJ109" s="50"/>
      <c r="BK109" s="50"/>
    </row>
    <row r="110" customFormat="false" ht="15" hidden="false" customHeight="false" outlineLevel="0" collapsed="false">
      <c r="A110" s="49" t="str">
        <f aca="false">IF(B110="","","PC-"&amp;TEXT(ROW()-2,"000"))</f>
        <v/>
      </c>
      <c r="B110" s="50"/>
      <c r="C110" s="50"/>
      <c r="D110" s="51"/>
      <c r="E110" s="51"/>
      <c r="F110" s="51"/>
      <c r="G110" s="50"/>
      <c r="H110" s="50"/>
      <c r="I110" s="50"/>
      <c r="J110" s="51"/>
      <c r="K110" s="50"/>
      <c r="L110" s="50"/>
      <c r="M110" s="50"/>
      <c r="N110" s="50"/>
      <c r="O110" s="52"/>
      <c r="P110" s="50"/>
      <c r="Q110" s="52"/>
      <c r="R110" s="52"/>
      <c r="S110" s="49" t="str">
        <f aca="false">IF(B110="","",IF(OR(O110="",R110=""),"—",IF(O110&lt;=R110,"⚠ RÉAPPRO","OK")))</f>
        <v/>
      </c>
      <c r="T110" s="50"/>
      <c r="U110" s="50"/>
      <c r="V110" s="50"/>
      <c r="W110" s="50"/>
      <c r="X110" s="50"/>
      <c r="Y110" s="53" t="str">
        <f aca="false">IF(B110="","",IF(X110="","—",IF(X110="Non classé","Non classé",IFERROR(INDEX(RefH_Classe,MATCH(TRIM(LEFT(X110,FIND(",",X110&amp;",")-1)),RefH_Code,0)),"Code H inconnu"))))</f>
        <v/>
      </c>
      <c r="Z110" s="50"/>
      <c r="AA110" s="50"/>
      <c r="AB110" s="51"/>
      <c r="AC110" s="51"/>
      <c r="AD110" s="51"/>
      <c r="AE110" s="51"/>
      <c r="AF110" s="50"/>
      <c r="AG110" s="51"/>
      <c r="AH110" s="54"/>
      <c r="AI110" s="51"/>
      <c r="AJ110" s="55" t="str">
        <f aca="false">IF(AH110="","",EDATE(AH110,60))</f>
        <v/>
      </c>
      <c r="AK110" s="49" t="str">
        <f aca="true">IF(B110="","",IF(OR(AG110="Non",AH110=""),"FDS ABSENTE",IF(TODAY()&gt;=EDATE(AH110,60),"EXPIRÉE",IF(TODAY()&gt;=EDATE(AH110,54),"À RENOUVELER","CONFORME"))))</f>
        <v/>
      </c>
      <c r="AL110" s="50"/>
      <c r="AM110" s="54"/>
      <c r="AN110" s="54"/>
      <c r="AO110" s="50"/>
      <c r="AP110" s="50"/>
      <c r="AQ110" s="50"/>
      <c r="AR110" s="50"/>
      <c r="AS110" s="50"/>
      <c r="AT110" s="50"/>
      <c r="AU110" s="50"/>
      <c r="AV110" s="50"/>
      <c r="AW110" s="52"/>
      <c r="AX110" s="52"/>
      <c r="AY110" s="56" t="str">
        <f aca="false">IF(OR(AW110="",AX110=""),"",AW110*AX110)</f>
        <v/>
      </c>
      <c r="AZ110" s="52"/>
      <c r="BA110" s="56" t="str">
        <f aca="false">IF(AY110="","",IF(AZ110="",AY110,ROUNDUP(AY110/AZ110,0)))</f>
        <v/>
      </c>
      <c r="BB110" s="49" t="str">
        <f aca="false">IF(BA110="","",IF(BA110&gt;=15,"P1 – Critique",IF(BA110&gt;=8,"P2 – Élevée",IF(BA110&gt;=4,"P3 – Modérée","P4 – Faible"))))</f>
        <v/>
      </c>
      <c r="BC110" s="50"/>
      <c r="BD110" s="50"/>
      <c r="BE110" s="54"/>
      <c r="BF110" s="57"/>
      <c r="BG110" s="50"/>
      <c r="BH110" s="54"/>
      <c r="BI110" s="54"/>
      <c r="BJ110" s="50"/>
      <c r="BK110" s="50"/>
    </row>
    <row r="111" customFormat="false" ht="15" hidden="false" customHeight="false" outlineLevel="0" collapsed="false">
      <c r="A111" s="49" t="str">
        <f aca="false">IF(B111="","","PC-"&amp;TEXT(ROW()-2,"000"))</f>
        <v/>
      </c>
      <c r="B111" s="50"/>
      <c r="C111" s="50"/>
      <c r="D111" s="51"/>
      <c r="E111" s="51"/>
      <c r="F111" s="51"/>
      <c r="G111" s="50"/>
      <c r="H111" s="50"/>
      <c r="I111" s="50"/>
      <c r="J111" s="51"/>
      <c r="K111" s="50"/>
      <c r="L111" s="50"/>
      <c r="M111" s="50"/>
      <c r="N111" s="50"/>
      <c r="O111" s="52"/>
      <c r="P111" s="50"/>
      <c r="Q111" s="52"/>
      <c r="R111" s="52"/>
      <c r="S111" s="49" t="str">
        <f aca="false">IF(B111="","",IF(OR(O111="",R111=""),"—",IF(O111&lt;=R111,"⚠ RÉAPPRO","OK")))</f>
        <v/>
      </c>
      <c r="T111" s="50"/>
      <c r="U111" s="50"/>
      <c r="V111" s="50"/>
      <c r="W111" s="50"/>
      <c r="X111" s="50"/>
      <c r="Y111" s="53" t="str">
        <f aca="false">IF(B111="","",IF(X111="","—",IF(X111="Non classé","Non classé",IFERROR(INDEX(RefH_Classe,MATCH(TRIM(LEFT(X111,FIND(",",X111&amp;",")-1)),RefH_Code,0)),"Code H inconnu"))))</f>
        <v/>
      </c>
      <c r="Z111" s="50"/>
      <c r="AA111" s="50"/>
      <c r="AB111" s="51"/>
      <c r="AC111" s="51"/>
      <c r="AD111" s="51"/>
      <c r="AE111" s="51"/>
      <c r="AF111" s="50"/>
      <c r="AG111" s="51"/>
      <c r="AH111" s="54"/>
      <c r="AI111" s="51"/>
      <c r="AJ111" s="55" t="str">
        <f aca="false">IF(AH111="","",EDATE(AH111,60))</f>
        <v/>
      </c>
      <c r="AK111" s="49" t="str">
        <f aca="true">IF(B111="","",IF(OR(AG111="Non",AH111=""),"FDS ABSENTE",IF(TODAY()&gt;=EDATE(AH111,60),"EXPIRÉE",IF(TODAY()&gt;=EDATE(AH111,54),"À RENOUVELER","CONFORME"))))</f>
        <v/>
      </c>
      <c r="AL111" s="50"/>
      <c r="AM111" s="54"/>
      <c r="AN111" s="54"/>
      <c r="AO111" s="50"/>
      <c r="AP111" s="50"/>
      <c r="AQ111" s="50"/>
      <c r="AR111" s="50"/>
      <c r="AS111" s="50"/>
      <c r="AT111" s="50"/>
      <c r="AU111" s="50"/>
      <c r="AV111" s="50"/>
      <c r="AW111" s="52"/>
      <c r="AX111" s="52"/>
      <c r="AY111" s="56" t="str">
        <f aca="false">IF(OR(AW111="",AX111=""),"",AW111*AX111)</f>
        <v/>
      </c>
      <c r="AZ111" s="52"/>
      <c r="BA111" s="56" t="str">
        <f aca="false">IF(AY111="","",IF(AZ111="",AY111,ROUNDUP(AY111/AZ111,0)))</f>
        <v/>
      </c>
      <c r="BB111" s="49" t="str">
        <f aca="false">IF(BA111="","",IF(BA111&gt;=15,"P1 – Critique",IF(BA111&gt;=8,"P2 – Élevée",IF(BA111&gt;=4,"P3 – Modérée","P4 – Faible"))))</f>
        <v/>
      </c>
      <c r="BC111" s="50"/>
      <c r="BD111" s="50"/>
      <c r="BE111" s="54"/>
      <c r="BF111" s="57"/>
      <c r="BG111" s="50"/>
      <c r="BH111" s="54"/>
      <c r="BI111" s="54"/>
      <c r="BJ111" s="50"/>
      <c r="BK111" s="50"/>
    </row>
    <row r="112" customFormat="false" ht="15" hidden="false" customHeight="false" outlineLevel="0" collapsed="false">
      <c r="A112" s="49" t="str">
        <f aca="false">IF(B112="","","PC-"&amp;TEXT(ROW()-2,"000"))</f>
        <v/>
      </c>
      <c r="B112" s="50"/>
      <c r="C112" s="50"/>
      <c r="D112" s="51"/>
      <c r="E112" s="51"/>
      <c r="F112" s="51"/>
      <c r="G112" s="50"/>
      <c r="H112" s="50"/>
      <c r="I112" s="50"/>
      <c r="J112" s="51"/>
      <c r="K112" s="50"/>
      <c r="L112" s="50"/>
      <c r="M112" s="50"/>
      <c r="N112" s="50"/>
      <c r="O112" s="52"/>
      <c r="P112" s="50"/>
      <c r="Q112" s="52"/>
      <c r="R112" s="52"/>
      <c r="S112" s="49" t="str">
        <f aca="false">IF(B112="","",IF(OR(O112="",R112=""),"—",IF(O112&lt;=R112,"⚠ RÉAPPRO","OK")))</f>
        <v/>
      </c>
      <c r="T112" s="50"/>
      <c r="U112" s="50"/>
      <c r="V112" s="50"/>
      <c r="W112" s="50"/>
      <c r="X112" s="50"/>
      <c r="Y112" s="53" t="str">
        <f aca="false">IF(B112="","",IF(X112="","—",IF(X112="Non classé","Non classé",IFERROR(INDEX(RefH_Classe,MATCH(TRIM(LEFT(X112,FIND(",",X112&amp;",")-1)),RefH_Code,0)),"Code H inconnu"))))</f>
        <v/>
      </c>
      <c r="Z112" s="50"/>
      <c r="AA112" s="50"/>
      <c r="AB112" s="51"/>
      <c r="AC112" s="51"/>
      <c r="AD112" s="51"/>
      <c r="AE112" s="51"/>
      <c r="AF112" s="50"/>
      <c r="AG112" s="51"/>
      <c r="AH112" s="54"/>
      <c r="AI112" s="51"/>
      <c r="AJ112" s="55" t="str">
        <f aca="false">IF(AH112="","",EDATE(AH112,60))</f>
        <v/>
      </c>
      <c r="AK112" s="49" t="str">
        <f aca="true">IF(B112="","",IF(OR(AG112="Non",AH112=""),"FDS ABSENTE",IF(TODAY()&gt;=EDATE(AH112,60),"EXPIRÉE",IF(TODAY()&gt;=EDATE(AH112,54),"À RENOUVELER","CONFORME"))))</f>
        <v/>
      </c>
      <c r="AL112" s="50"/>
      <c r="AM112" s="54"/>
      <c r="AN112" s="54"/>
      <c r="AO112" s="50"/>
      <c r="AP112" s="50"/>
      <c r="AQ112" s="50"/>
      <c r="AR112" s="50"/>
      <c r="AS112" s="50"/>
      <c r="AT112" s="50"/>
      <c r="AU112" s="50"/>
      <c r="AV112" s="50"/>
      <c r="AW112" s="52"/>
      <c r="AX112" s="52"/>
      <c r="AY112" s="56" t="str">
        <f aca="false">IF(OR(AW112="",AX112=""),"",AW112*AX112)</f>
        <v/>
      </c>
      <c r="AZ112" s="52"/>
      <c r="BA112" s="56" t="str">
        <f aca="false">IF(AY112="","",IF(AZ112="",AY112,ROUNDUP(AY112/AZ112,0)))</f>
        <v/>
      </c>
      <c r="BB112" s="49" t="str">
        <f aca="false">IF(BA112="","",IF(BA112&gt;=15,"P1 – Critique",IF(BA112&gt;=8,"P2 – Élevée",IF(BA112&gt;=4,"P3 – Modérée","P4 – Faible"))))</f>
        <v/>
      </c>
      <c r="BC112" s="50"/>
      <c r="BD112" s="50"/>
      <c r="BE112" s="54"/>
      <c r="BF112" s="57"/>
      <c r="BG112" s="50"/>
      <c r="BH112" s="54"/>
      <c r="BI112" s="54"/>
      <c r="BJ112" s="50"/>
      <c r="BK112" s="50"/>
    </row>
    <row r="113" customFormat="false" ht="15" hidden="false" customHeight="false" outlineLevel="0" collapsed="false">
      <c r="A113" s="49" t="str">
        <f aca="false">IF(B113="","","PC-"&amp;TEXT(ROW()-2,"000"))</f>
        <v/>
      </c>
      <c r="B113" s="50"/>
      <c r="C113" s="50"/>
      <c r="D113" s="51"/>
      <c r="E113" s="51"/>
      <c r="F113" s="51"/>
      <c r="G113" s="50"/>
      <c r="H113" s="50"/>
      <c r="I113" s="50"/>
      <c r="J113" s="51"/>
      <c r="K113" s="50"/>
      <c r="L113" s="50"/>
      <c r="M113" s="50"/>
      <c r="N113" s="50"/>
      <c r="O113" s="52"/>
      <c r="P113" s="50"/>
      <c r="Q113" s="52"/>
      <c r="R113" s="52"/>
      <c r="S113" s="49" t="str">
        <f aca="false">IF(B113="","",IF(OR(O113="",R113=""),"—",IF(O113&lt;=R113,"⚠ RÉAPPRO","OK")))</f>
        <v/>
      </c>
      <c r="T113" s="50"/>
      <c r="U113" s="50"/>
      <c r="V113" s="50"/>
      <c r="W113" s="50"/>
      <c r="X113" s="50"/>
      <c r="Y113" s="53" t="str">
        <f aca="false">IF(B113="","",IF(X113="","—",IF(X113="Non classé","Non classé",IFERROR(INDEX(RefH_Classe,MATCH(TRIM(LEFT(X113,FIND(",",X113&amp;",")-1)),RefH_Code,0)),"Code H inconnu"))))</f>
        <v/>
      </c>
      <c r="Z113" s="50"/>
      <c r="AA113" s="50"/>
      <c r="AB113" s="51"/>
      <c r="AC113" s="51"/>
      <c r="AD113" s="51"/>
      <c r="AE113" s="51"/>
      <c r="AF113" s="50"/>
      <c r="AG113" s="51"/>
      <c r="AH113" s="54"/>
      <c r="AI113" s="51"/>
      <c r="AJ113" s="55" t="str">
        <f aca="false">IF(AH113="","",EDATE(AH113,60))</f>
        <v/>
      </c>
      <c r="AK113" s="49" t="str">
        <f aca="true">IF(B113="","",IF(OR(AG113="Non",AH113=""),"FDS ABSENTE",IF(TODAY()&gt;=EDATE(AH113,60),"EXPIRÉE",IF(TODAY()&gt;=EDATE(AH113,54),"À RENOUVELER","CONFORME"))))</f>
        <v/>
      </c>
      <c r="AL113" s="50"/>
      <c r="AM113" s="54"/>
      <c r="AN113" s="54"/>
      <c r="AO113" s="50"/>
      <c r="AP113" s="50"/>
      <c r="AQ113" s="50"/>
      <c r="AR113" s="50"/>
      <c r="AS113" s="50"/>
      <c r="AT113" s="50"/>
      <c r="AU113" s="50"/>
      <c r="AV113" s="50"/>
      <c r="AW113" s="52"/>
      <c r="AX113" s="52"/>
      <c r="AY113" s="56" t="str">
        <f aca="false">IF(OR(AW113="",AX113=""),"",AW113*AX113)</f>
        <v/>
      </c>
      <c r="AZ113" s="52"/>
      <c r="BA113" s="56" t="str">
        <f aca="false">IF(AY113="","",IF(AZ113="",AY113,ROUNDUP(AY113/AZ113,0)))</f>
        <v/>
      </c>
      <c r="BB113" s="49" t="str">
        <f aca="false">IF(BA113="","",IF(BA113&gt;=15,"P1 – Critique",IF(BA113&gt;=8,"P2 – Élevée",IF(BA113&gt;=4,"P3 – Modérée","P4 – Faible"))))</f>
        <v/>
      </c>
      <c r="BC113" s="50"/>
      <c r="BD113" s="50"/>
      <c r="BE113" s="54"/>
      <c r="BF113" s="57"/>
      <c r="BG113" s="50"/>
      <c r="BH113" s="54"/>
      <c r="BI113" s="54"/>
      <c r="BJ113" s="50"/>
      <c r="BK113" s="50"/>
    </row>
    <row r="114" customFormat="false" ht="15" hidden="false" customHeight="false" outlineLevel="0" collapsed="false">
      <c r="A114" s="49" t="str">
        <f aca="false">IF(B114="","","PC-"&amp;TEXT(ROW()-2,"000"))</f>
        <v/>
      </c>
      <c r="B114" s="50"/>
      <c r="C114" s="50"/>
      <c r="D114" s="51"/>
      <c r="E114" s="51"/>
      <c r="F114" s="51"/>
      <c r="G114" s="50"/>
      <c r="H114" s="50"/>
      <c r="I114" s="50"/>
      <c r="J114" s="51"/>
      <c r="K114" s="50"/>
      <c r="L114" s="50"/>
      <c r="M114" s="50"/>
      <c r="N114" s="50"/>
      <c r="O114" s="52"/>
      <c r="P114" s="50"/>
      <c r="Q114" s="52"/>
      <c r="R114" s="52"/>
      <c r="S114" s="49" t="str">
        <f aca="false">IF(B114="","",IF(OR(O114="",R114=""),"—",IF(O114&lt;=R114,"⚠ RÉAPPRO","OK")))</f>
        <v/>
      </c>
      <c r="T114" s="50"/>
      <c r="U114" s="50"/>
      <c r="V114" s="50"/>
      <c r="W114" s="50"/>
      <c r="X114" s="50"/>
      <c r="Y114" s="53" t="str">
        <f aca="false">IF(B114="","",IF(X114="","—",IF(X114="Non classé","Non classé",IFERROR(INDEX(RefH_Classe,MATCH(TRIM(LEFT(X114,FIND(",",X114&amp;",")-1)),RefH_Code,0)),"Code H inconnu"))))</f>
        <v/>
      </c>
      <c r="Z114" s="50"/>
      <c r="AA114" s="50"/>
      <c r="AB114" s="51"/>
      <c r="AC114" s="51"/>
      <c r="AD114" s="51"/>
      <c r="AE114" s="51"/>
      <c r="AF114" s="50"/>
      <c r="AG114" s="51"/>
      <c r="AH114" s="54"/>
      <c r="AI114" s="51"/>
      <c r="AJ114" s="55" t="str">
        <f aca="false">IF(AH114="","",EDATE(AH114,60))</f>
        <v/>
      </c>
      <c r="AK114" s="49" t="str">
        <f aca="true">IF(B114="","",IF(OR(AG114="Non",AH114=""),"FDS ABSENTE",IF(TODAY()&gt;=EDATE(AH114,60),"EXPIRÉE",IF(TODAY()&gt;=EDATE(AH114,54),"À RENOUVELER","CONFORME"))))</f>
        <v/>
      </c>
      <c r="AL114" s="50"/>
      <c r="AM114" s="54"/>
      <c r="AN114" s="54"/>
      <c r="AO114" s="50"/>
      <c r="AP114" s="50"/>
      <c r="AQ114" s="50"/>
      <c r="AR114" s="50"/>
      <c r="AS114" s="50"/>
      <c r="AT114" s="50"/>
      <c r="AU114" s="50"/>
      <c r="AV114" s="50"/>
      <c r="AW114" s="52"/>
      <c r="AX114" s="52"/>
      <c r="AY114" s="56" t="str">
        <f aca="false">IF(OR(AW114="",AX114=""),"",AW114*AX114)</f>
        <v/>
      </c>
      <c r="AZ114" s="52"/>
      <c r="BA114" s="56" t="str">
        <f aca="false">IF(AY114="","",IF(AZ114="",AY114,ROUNDUP(AY114/AZ114,0)))</f>
        <v/>
      </c>
      <c r="BB114" s="49" t="str">
        <f aca="false">IF(BA114="","",IF(BA114&gt;=15,"P1 – Critique",IF(BA114&gt;=8,"P2 – Élevée",IF(BA114&gt;=4,"P3 – Modérée","P4 – Faible"))))</f>
        <v/>
      </c>
      <c r="BC114" s="50"/>
      <c r="BD114" s="50"/>
      <c r="BE114" s="54"/>
      <c r="BF114" s="57"/>
      <c r="BG114" s="50"/>
      <c r="BH114" s="54"/>
      <c r="BI114" s="54"/>
      <c r="BJ114" s="50"/>
      <c r="BK114" s="50"/>
    </row>
    <row r="115" customFormat="false" ht="15" hidden="false" customHeight="false" outlineLevel="0" collapsed="false">
      <c r="A115" s="49" t="str">
        <f aca="false">IF(B115="","","PC-"&amp;TEXT(ROW()-2,"000"))</f>
        <v/>
      </c>
      <c r="B115" s="50"/>
      <c r="C115" s="50"/>
      <c r="D115" s="51"/>
      <c r="E115" s="51"/>
      <c r="F115" s="51"/>
      <c r="G115" s="50"/>
      <c r="H115" s="50"/>
      <c r="I115" s="50"/>
      <c r="J115" s="51"/>
      <c r="K115" s="50"/>
      <c r="L115" s="50"/>
      <c r="M115" s="50"/>
      <c r="N115" s="50"/>
      <c r="O115" s="52"/>
      <c r="P115" s="50"/>
      <c r="Q115" s="52"/>
      <c r="R115" s="52"/>
      <c r="S115" s="49" t="str">
        <f aca="false">IF(B115="","",IF(OR(O115="",R115=""),"—",IF(O115&lt;=R115,"⚠ RÉAPPRO","OK")))</f>
        <v/>
      </c>
      <c r="T115" s="50"/>
      <c r="U115" s="50"/>
      <c r="V115" s="50"/>
      <c r="W115" s="50"/>
      <c r="X115" s="50"/>
      <c r="Y115" s="53" t="str">
        <f aca="false">IF(B115="","",IF(X115="","—",IF(X115="Non classé","Non classé",IFERROR(INDEX(RefH_Classe,MATCH(TRIM(LEFT(X115,FIND(",",X115&amp;",")-1)),RefH_Code,0)),"Code H inconnu"))))</f>
        <v/>
      </c>
      <c r="Z115" s="50"/>
      <c r="AA115" s="50"/>
      <c r="AB115" s="51"/>
      <c r="AC115" s="51"/>
      <c r="AD115" s="51"/>
      <c r="AE115" s="51"/>
      <c r="AF115" s="50"/>
      <c r="AG115" s="51"/>
      <c r="AH115" s="54"/>
      <c r="AI115" s="51"/>
      <c r="AJ115" s="55" t="str">
        <f aca="false">IF(AH115="","",EDATE(AH115,60))</f>
        <v/>
      </c>
      <c r="AK115" s="49" t="str">
        <f aca="true">IF(B115="","",IF(OR(AG115="Non",AH115=""),"FDS ABSENTE",IF(TODAY()&gt;=EDATE(AH115,60),"EXPIRÉE",IF(TODAY()&gt;=EDATE(AH115,54),"À RENOUVELER","CONFORME"))))</f>
        <v/>
      </c>
      <c r="AL115" s="50"/>
      <c r="AM115" s="54"/>
      <c r="AN115" s="54"/>
      <c r="AO115" s="50"/>
      <c r="AP115" s="50"/>
      <c r="AQ115" s="50"/>
      <c r="AR115" s="50"/>
      <c r="AS115" s="50"/>
      <c r="AT115" s="50"/>
      <c r="AU115" s="50"/>
      <c r="AV115" s="50"/>
      <c r="AW115" s="52"/>
      <c r="AX115" s="52"/>
      <c r="AY115" s="56" t="str">
        <f aca="false">IF(OR(AW115="",AX115=""),"",AW115*AX115)</f>
        <v/>
      </c>
      <c r="AZ115" s="52"/>
      <c r="BA115" s="56" t="str">
        <f aca="false">IF(AY115="","",IF(AZ115="",AY115,ROUNDUP(AY115/AZ115,0)))</f>
        <v/>
      </c>
      <c r="BB115" s="49" t="str">
        <f aca="false">IF(BA115="","",IF(BA115&gt;=15,"P1 – Critique",IF(BA115&gt;=8,"P2 – Élevée",IF(BA115&gt;=4,"P3 – Modérée","P4 – Faible"))))</f>
        <v/>
      </c>
      <c r="BC115" s="50"/>
      <c r="BD115" s="50"/>
      <c r="BE115" s="54"/>
      <c r="BF115" s="57"/>
      <c r="BG115" s="50"/>
      <c r="BH115" s="54"/>
      <c r="BI115" s="54"/>
      <c r="BJ115" s="50"/>
      <c r="BK115" s="50"/>
    </row>
    <row r="116" customFormat="false" ht="15" hidden="false" customHeight="false" outlineLevel="0" collapsed="false">
      <c r="A116" s="49" t="str">
        <f aca="false">IF(B116="","","PC-"&amp;TEXT(ROW()-2,"000"))</f>
        <v/>
      </c>
      <c r="B116" s="50"/>
      <c r="C116" s="50"/>
      <c r="D116" s="51"/>
      <c r="E116" s="51"/>
      <c r="F116" s="51"/>
      <c r="G116" s="50"/>
      <c r="H116" s="50"/>
      <c r="I116" s="50"/>
      <c r="J116" s="51"/>
      <c r="K116" s="50"/>
      <c r="L116" s="50"/>
      <c r="M116" s="50"/>
      <c r="N116" s="50"/>
      <c r="O116" s="52"/>
      <c r="P116" s="50"/>
      <c r="Q116" s="52"/>
      <c r="R116" s="52"/>
      <c r="S116" s="49" t="str">
        <f aca="false">IF(B116="","",IF(OR(O116="",R116=""),"—",IF(O116&lt;=R116,"⚠ RÉAPPRO","OK")))</f>
        <v/>
      </c>
      <c r="T116" s="50"/>
      <c r="U116" s="50"/>
      <c r="V116" s="50"/>
      <c r="W116" s="50"/>
      <c r="X116" s="50"/>
      <c r="Y116" s="53" t="str">
        <f aca="false">IF(B116="","",IF(X116="","—",IF(X116="Non classé","Non classé",IFERROR(INDEX(RefH_Classe,MATCH(TRIM(LEFT(X116,FIND(",",X116&amp;",")-1)),RefH_Code,0)),"Code H inconnu"))))</f>
        <v/>
      </c>
      <c r="Z116" s="50"/>
      <c r="AA116" s="50"/>
      <c r="AB116" s="51"/>
      <c r="AC116" s="51"/>
      <c r="AD116" s="51"/>
      <c r="AE116" s="51"/>
      <c r="AF116" s="50"/>
      <c r="AG116" s="51"/>
      <c r="AH116" s="54"/>
      <c r="AI116" s="51"/>
      <c r="AJ116" s="55" t="str">
        <f aca="false">IF(AH116="","",EDATE(AH116,60))</f>
        <v/>
      </c>
      <c r="AK116" s="49" t="str">
        <f aca="true">IF(B116="","",IF(OR(AG116="Non",AH116=""),"FDS ABSENTE",IF(TODAY()&gt;=EDATE(AH116,60),"EXPIRÉE",IF(TODAY()&gt;=EDATE(AH116,54),"À RENOUVELER","CONFORME"))))</f>
        <v/>
      </c>
      <c r="AL116" s="50"/>
      <c r="AM116" s="54"/>
      <c r="AN116" s="54"/>
      <c r="AO116" s="50"/>
      <c r="AP116" s="50"/>
      <c r="AQ116" s="50"/>
      <c r="AR116" s="50"/>
      <c r="AS116" s="50"/>
      <c r="AT116" s="50"/>
      <c r="AU116" s="50"/>
      <c r="AV116" s="50"/>
      <c r="AW116" s="52"/>
      <c r="AX116" s="52"/>
      <c r="AY116" s="56" t="str">
        <f aca="false">IF(OR(AW116="",AX116=""),"",AW116*AX116)</f>
        <v/>
      </c>
      <c r="AZ116" s="52"/>
      <c r="BA116" s="56" t="str">
        <f aca="false">IF(AY116="","",IF(AZ116="",AY116,ROUNDUP(AY116/AZ116,0)))</f>
        <v/>
      </c>
      <c r="BB116" s="49" t="str">
        <f aca="false">IF(BA116="","",IF(BA116&gt;=15,"P1 – Critique",IF(BA116&gt;=8,"P2 – Élevée",IF(BA116&gt;=4,"P3 – Modérée","P4 – Faible"))))</f>
        <v/>
      </c>
      <c r="BC116" s="50"/>
      <c r="BD116" s="50"/>
      <c r="BE116" s="54"/>
      <c r="BF116" s="57"/>
      <c r="BG116" s="50"/>
      <c r="BH116" s="54"/>
      <c r="BI116" s="54"/>
      <c r="BJ116" s="50"/>
      <c r="BK116" s="50"/>
    </row>
    <row r="117" customFormat="false" ht="15" hidden="false" customHeight="false" outlineLevel="0" collapsed="false">
      <c r="A117" s="49" t="str">
        <f aca="false">IF(B117="","","PC-"&amp;TEXT(ROW()-2,"000"))</f>
        <v/>
      </c>
      <c r="B117" s="50"/>
      <c r="C117" s="50"/>
      <c r="D117" s="51"/>
      <c r="E117" s="51"/>
      <c r="F117" s="51"/>
      <c r="G117" s="50"/>
      <c r="H117" s="50"/>
      <c r="I117" s="50"/>
      <c r="J117" s="51"/>
      <c r="K117" s="50"/>
      <c r="L117" s="50"/>
      <c r="M117" s="50"/>
      <c r="N117" s="50"/>
      <c r="O117" s="52"/>
      <c r="P117" s="50"/>
      <c r="Q117" s="52"/>
      <c r="R117" s="52"/>
      <c r="S117" s="49" t="str">
        <f aca="false">IF(B117="","",IF(OR(O117="",R117=""),"—",IF(O117&lt;=R117,"⚠ RÉAPPRO","OK")))</f>
        <v/>
      </c>
      <c r="T117" s="50"/>
      <c r="U117" s="50"/>
      <c r="V117" s="50"/>
      <c r="W117" s="50"/>
      <c r="X117" s="50"/>
      <c r="Y117" s="53" t="str">
        <f aca="false">IF(B117="","",IF(X117="","—",IF(X117="Non classé","Non classé",IFERROR(INDEX(RefH_Classe,MATCH(TRIM(LEFT(X117,FIND(",",X117&amp;",")-1)),RefH_Code,0)),"Code H inconnu"))))</f>
        <v/>
      </c>
      <c r="Z117" s="50"/>
      <c r="AA117" s="50"/>
      <c r="AB117" s="51"/>
      <c r="AC117" s="51"/>
      <c r="AD117" s="51"/>
      <c r="AE117" s="51"/>
      <c r="AF117" s="50"/>
      <c r="AG117" s="51"/>
      <c r="AH117" s="54"/>
      <c r="AI117" s="51"/>
      <c r="AJ117" s="55" t="str">
        <f aca="false">IF(AH117="","",EDATE(AH117,60))</f>
        <v/>
      </c>
      <c r="AK117" s="49" t="str">
        <f aca="true">IF(B117="","",IF(OR(AG117="Non",AH117=""),"FDS ABSENTE",IF(TODAY()&gt;=EDATE(AH117,60),"EXPIRÉE",IF(TODAY()&gt;=EDATE(AH117,54),"À RENOUVELER","CONFORME"))))</f>
        <v/>
      </c>
      <c r="AL117" s="50"/>
      <c r="AM117" s="54"/>
      <c r="AN117" s="54"/>
      <c r="AO117" s="50"/>
      <c r="AP117" s="50"/>
      <c r="AQ117" s="50"/>
      <c r="AR117" s="50"/>
      <c r="AS117" s="50"/>
      <c r="AT117" s="50"/>
      <c r="AU117" s="50"/>
      <c r="AV117" s="50"/>
      <c r="AW117" s="52"/>
      <c r="AX117" s="52"/>
      <c r="AY117" s="56" t="str">
        <f aca="false">IF(OR(AW117="",AX117=""),"",AW117*AX117)</f>
        <v/>
      </c>
      <c r="AZ117" s="52"/>
      <c r="BA117" s="56" t="str">
        <f aca="false">IF(AY117="","",IF(AZ117="",AY117,ROUNDUP(AY117/AZ117,0)))</f>
        <v/>
      </c>
      <c r="BB117" s="49" t="str">
        <f aca="false">IF(BA117="","",IF(BA117&gt;=15,"P1 – Critique",IF(BA117&gt;=8,"P2 – Élevée",IF(BA117&gt;=4,"P3 – Modérée","P4 – Faible"))))</f>
        <v/>
      </c>
      <c r="BC117" s="50"/>
      <c r="BD117" s="50"/>
      <c r="BE117" s="54"/>
      <c r="BF117" s="57"/>
      <c r="BG117" s="50"/>
      <c r="BH117" s="54"/>
      <c r="BI117" s="54"/>
      <c r="BJ117" s="50"/>
      <c r="BK117" s="50"/>
    </row>
    <row r="118" customFormat="false" ht="15" hidden="false" customHeight="false" outlineLevel="0" collapsed="false">
      <c r="A118" s="49" t="str">
        <f aca="false">IF(B118="","","PC-"&amp;TEXT(ROW()-2,"000"))</f>
        <v/>
      </c>
      <c r="B118" s="50"/>
      <c r="C118" s="50"/>
      <c r="D118" s="51"/>
      <c r="E118" s="51"/>
      <c r="F118" s="51"/>
      <c r="G118" s="50"/>
      <c r="H118" s="50"/>
      <c r="I118" s="50"/>
      <c r="J118" s="51"/>
      <c r="K118" s="50"/>
      <c r="L118" s="50"/>
      <c r="M118" s="50"/>
      <c r="N118" s="50"/>
      <c r="O118" s="52"/>
      <c r="P118" s="50"/>
      <c r="Q118" s="52"/>
      <c r="R118" s="52"/>
      <c r="S118" s="49" t="str">
        <f aca="false">IF(B118="","",IF(OR(O118="",R118=""),"—",IF(O118&lt;=R118,"⚠ RÉAPPRO","OK")))</f>
        <v/>
      </c>
      <c r="T118" s="50"/>
      <c r="U118" s="50"/>
      <c r="V118" s="50"/>
      <c r="W118" s="50"/>
      <c r="X118" s="50"/>
      <c r="Y118" s="53" t="str">
        <f aca="false">IF(B118="","",IF(X118="","—",IF(X118="Non classé","Non classé",IFERROR(INDEX(RefH_Classe,MATCH(TRIM(LEFT(X118,FIND(",",X118&amp;",")-1)),RefH_Code,0)),"Code H inconnu"))))</f>
        <v/>
      </c>
      <c r="Z118" s="50"/>
      <c r="AA118" s="50"/>
      <c r="AB118" s="51"/>
      <c r="AC118" s="51"/>
      <c r="AD118" s="51"/>
      <c r="AE118" s="51"/>
      <c r="AF118" s="50"/>
      <c r="AG118" s="51"/>
      <c r="AH118" s="54"/>
      <c r="AI118" s="51"/>
      <c r="AJ118" s="55" t="str">
        <f aca="false">IF(AH118="","",EDATE(AH118,60))</f>
        <v/>
      </c>
      <c r="AK118" s="49" t="str">
        <f aca="true">IF(B118="","",IF(OR(AG118="Non",AH118=""),"FDS ABSENTE",IF(TODAY()&gt;=EDATE(AH118,60),"EXPIRÉE",IF(TODAY()&gt;=EDATE(AH118,54),"À RENOUVELER","CONFORME"))))</f>
        <v/>
      </c>
      <c r="AL118" s="50"/>
      <c r="AM118" s="54"/>
      <c r="AN118" s="54"/>
      <c r="AO118" s="50"/>
      <c r="AP118" s="50"/>
      <c r="AQ118" s="50"/>
      <c r="AR118" s="50"/>
      <c r="AS118" s="50"/>
      <c r="AT118" s="50"/>
      <c r="AU118" s="50"/>
      <c r="AV118" s="50"/>
      <c r="AW118" s="52"/>
      <c r="AX118" s="52"/>
      <c r="AY118" s="56" t="str">
        <f aca="false">IF(OR(AW118="",AX118=""),"",AW118*AX118)</f>
        <v/>
      </c>
      <c r="AZ118" s="52"/>
      <c r="BA118" s="56" t="str">
        <f aca="false">IF(AY118="","",IF(AZ118="",AY118,ROUNDUP(AY118/AZ118,0)))</f>
        <v/>
      </c>
      <c r="BB118" s="49" t="str">
        <f aca="false">IF(BA118="","",IF(BA118&gt;=15,"P1 – Critique",IF(BA118&gt;=8,"P2 – Élevée",IF(BA118&gt;=4,"P3 – Modérée","P4 – Faible"))))</f>
        <v/>
      </c>
      <c r="BC118" s="50"/>
      <c r="BD118" s="50"/>
      <c r="BE118" s="54"/>
      <c r="BF118" s="57"/>
      <c r="BG118" s="50"/>
      <c r="BH118" s="54"/>
      <c r="BI118" s="54"/>
      <c r="BJ118" s="50"/>
      <c r="BK118" s="50"/>
    </row>
    <row r="119" customFormat="false" ht="15" hidden="false" customHeight="false" outlineLevel="0" collapsed="false">
      <c r="A119" s="49" t="str">
        <f aca="false">IF(B119="","","PC-"&amp;TEXT(ROW()-2,"000"))</f>
        <v/>
      </c>
      <c r="B119" s="50"/>
      <c r="C119" s="50"/>
      <c r="D119" s="51"/>
      <c r="E119" s="51"/>
      <c r="F119" s="51"/>
      <c r="G119" s="50"/>
      <c r="H119" s="50"/>
      <c r="I119" s="50"/>
      <c r="J119" s="51"/>
      <c r="K119" s="50"/>
      <c r="L119" s="50"/>
      <c r="M119" s="50"/>
      <c r="N119" s="50"/>
      <c r="O119" s="52"/>
      <c r="P119" s="50"/>
      <c r="Q119" s="52"/>
      <c r="R119" s="52"/>
      <c r="S119" s="49" t="str">
        <f aca="false">IF(B119="","",IF(OR(O119="",R119=""),"—",IF(O119&lt;=R119,"⚠ RÉAPPRO","OK")))</f>
        <v/>
      </c>
      <c r="T119" s="50"/>
      <c r="U119" s="50"/>
      <c r="V119" s="50"/>
      <c r="W119" s="50"/>
      <c r="X119" s="50"/>
      <c r="Y119" s="53" t="str">
        <f aca="false">IF(B119="","",IF(X119="","—",IF(X119="Non classé","Non classé",IFERROR(INDEX(RefH_Classe,MATCH(TRIM(LEFT(X119,FIND(",",X119&amp;",")-1)),RefH_Code,0)),"Code H inconnu"))))</f>
        <v/>
      </c>
      <c r="Z119" s="50"/>
      <c r="AA119" s="50"/>
      <c r="AB119" s="51"/>
      <c r="AC119" s="51"/>
      <c r="AD119" s="51"/>
      <c r="AE119" s="51"/>
      <c r="AF119" s="50"/>
      <c r="AG119" s="51"/>
      <c r="AH119" s="54"/>
      <c r="AI119" s="51"/>
      <c r="AJ119" s="55" t="str">
        <f aca="false">IF(AH119="","",EDATE(AH119,60))</f>
        <v/>
      </c>
      <c r="AK119" s="49" t="str">
        <f aca="true">IF(B119="","",IF(OR(AG119="Non",AH119=""),"FDS ABSENTE",IF(TODAY()&gt;=EDATE(AH119,60),"EXPIRÉE",IF(TODAY()&gt;=EDATE(AH119,54),"À RENOUVELER","CONFORME"))))</f>
        <v/>
      </c>
      <c r="AL119" s="50"/>
      <c r="AM119" s="54"/>
      <c r="AN119" s="54"/>
      <c r="AO119" s="50"/>
      <c r="AP119" s="50"/>
      <c r="AQ119" s="50"/>
      <c r="AR119" s="50"/>
      <c r="AS119" s="50"/>
      <c r="AT119" s="50"/>
      <c r="AU119" s="50"/>
      <c r="AV119" s="50"/>
      <c r="AW119" s="52"/>
      <c r="AX119" s="52"/>
      <c r="AY119" s="56" t="str">
        <f aca="false">IF(OR(AW119="",AX119=""),"",AW119*AX119)</f>
        <v/>
      </c>
      <c r="AZ119" s="52"/>
      <c r="BA119" s="56" t="str">
        <f aca="false">IF(AY119="","",IF(AZ119="",AY119,ROUNDUP(AY119/AZ119,0)))</f>
        <v/>
      </c>
      <c r="BB119" s="49" t="str">
        <f aca="false">IF(BA119="","",IF(BA119&gt;=15,"P1 – Critique",IF(BA119&gt;=8,"P2 – Élevée",IF(BA119&gt;=4,"P3 – Modérée","P4 – Faible"))))</f>
        <v/>
      </c>
      <c r="BC119" s="50"/>
      <c r="BD119" s="50"/>
      <c r="BE119" s="54"/>
      <c r="BF119" s="57"/>
      <c r="BG119" s="50"/>
      <c r="BH119" s="54"/>
      <c r="BI119" s="54"/>
      <c r="BJ119" s="50"/>
      <c r="BK119" s="50"/>
    </row>
    <row r="120" customFormat="false" ht="15" hidden="false" customHeight="false" outlineLevel="0" collapsed="false">
      <c r="A120" s="49" t="str">
        <f aca="false">IF(B120="","","PC-"&amp;TEXT(ROW()-2,"000"))</f>
        <v/>
      </c>
      <c r="B120" s="50"/>
      <c r="C120" s="50"/>
      <c r="D120" s="51"/>
      <c r="E120" s="51"/>
      <c r="F120" s="51"/>
      <c r="G120" s="50"/>
      <c r="H120" s="50"/>
      <c r="I120" s="50"/>
      <c r="J120" s="51"/>
      <c r="K120" s="50"/>
      <c r="L120" s="50"/>
      <c r="M120" s="50"/>
      <c r="N120" s="50"/>
      <c r="O120" s="52"/>
      <c r="P120" s="50"/>
      <c r="Q120" s="52"/>
      <c r="R120" s="52"/>
      <c r="S120" s="49" t="str">
        <f aca="false">IF(B120="","",IF(OR(O120="",R120=""),"—",IF(O120&lt;=R120,"⚠ RÉAPPRO","OK")))</f>
        <v/>
      </c>
      <c r="T120" s="50"/>
      <c r="U120" s="50"/>
      <c r="V120" s="50"/>
      <c r="W120" s="50"/>
      <c r="X120" s="50"/>
      <c r="Y120" s="53" t="str">
        <f aca="false">IF(B120="","",IF(X120="","—",IF(X120="Non classé","Non classé",IFERROR(INDEX(RefH_Classe,MATCH(TRIM(LEFT(X120,FIND(",",X120&amp;",")-1)),RefH_Code,0)),"Code H inconnu"))))</f>
        <v/>
      </c>
      <c r="Z120" s="50"/>
      <c r="AA120" s="50"/>
      <c r="AB120" s="51"/>
      <c r="AC120" s="51"/>
      <c r="AD120" s="51"/>
      <c r="AE120" s="51"/>
      <c r="AF120" s="50"/>
      <c r="AG120" s="51"/>
      <c r="AH120" s="54"/>
      <c r="AI120" s="51"/>
      <c r="AJ120" s="55" t="str">
        <f aca="false">IF(AH120="","",EDATE(AH120,60))</f>
        <v/>
      </c>
      <c r="AK120" s="49" t="str">
        <f aca="true">IF(B120="","",IF(OR(AG120="Non",AH120=""),"FDS ABSENTE",IF(TODAY()&gt;=EDATE(AH120,60),"EXPIRÉE",IF(TODAY()&gt;=EDATE(AH120,54),"À RENOUVELER","CONFORME"))))</f>
        <v/>
      </c>
      <c r="AL120" s="50"/>
      <c r="AM120" s="54"/>
      <c r="AN120" s="54"/>
      <c r="AO120" s="50"/>
      <c r="AP120" s="50"/>
      <c r="AQ120" s="50"/>
      <c r="AR120" s="50"/>
      <c r="AS120" s="50"/>
      <c r="AT120" s="50"/>
      <c r="AU120" s="50"/>
      <c r="AV120" s="50"/>
      <c r="AW120" s="52"/>
      <c r="AX120" s="52"/>
      <c r="AY120" s="56" t="str">
        <f aca="false">IF(OR(AW120="",AX120=""),"",AW120*AX120)</f>
        <v/>
      </c>
      <c r="AZ120" s="52"/>
      <c r="BA120" s="56" t="str">
        <f aca="false">IF(AY120="","",IF(AZ120="",AY120,ROUNDUP(AY120/AZ120,0)))</f>
        <v/>
      </c>
      <c r="BB120" s="49" t="str">
        <f aca="false">IF(BA120="","",IF(BA120&gt;=15,"P1 – Critique",IF(BA120&gt;=8,"P2 – Élevée",IF(BA120&gt;=4,"P3 – Modérée","P4 – Faible"))))</f>
        <v/>
      </c>
      <c r="BC120" s="50"/>
      <c r="BD120" s="50"/>
      <c r="BE120" s="54"/>
      <c r="BF120" s="57"/>
      <c r="BG120" s="50"/>
      <c r="BH120" s="54"/>
      <c r="BI120" s="54"/>
      <c r="BJ120" s="50"/>
      <c r="BK120" s="50"/>
    </row>
    <row r="121" customFormat="false" ht="15" hidden="false" customHeight="false" outlineLevel="0" collapsed="false">
      <c r="A121" s="49" t="str">
        <f aca="false">IF(B121="","","PC-"&amp;TEXT(ROW()-2,"000"))</f>
        <v/>
      </c>
      <c r="B121" s="50"/>
      <c r="C121" s="50"/>
      <c r="D121" s="51"/>
      <c r="E121" s="51"/>
      <c r="F121" s="51"/>
      <c r="G121" s="50"/>
      <c r="H121" s="50"/>
      <c r="I121" s="50"/>
      <c r="J121" s="51"/>
      <c r="K121" s="50"/>
      <c r="L121" s="50"/>
      <c r="M121" s="50"/>
      <c r="N121" s="50"/>
      <c r="O121" s="52"/>
      <c r="P121" s="50"/>
      <c r="Q121" s="52"/>
      <c r="R121" s="52"/>
      <c r="S121" s="49" t="str">
        <f aca="false">IF(B121="","",IF(OR(O121="",R121=""),"—",IF(O121&lt;=R121,"⚠ RÉAPPRO","OK")))</f>
        <v/>
      </c>
      <c r="T121" s="50"/>
      <c r="U121" s="50"/>
      <c r="V121" s="50"/>
      <c r="W121" s="50"/>
      <c r="X121" s="50"/>
      <c r="Y121" s="53" t="str">
        <f aca="false">IF(B121="","",IF(X121="","—",IF(X121="Non classé","Non classé",IFERROR(INDEX(RefH_Classe,MATCH(TRIM(LEFT(X121,FIND(",",X121&amp;",")-1)),RefH_Code,0)),"Code H inconnu"))))</f>
        <v/>
      </c>
      <c r="Z121" s="50"/>
      <c r="AA121" s="50"/>
      <c r="AB121" s="51"/>
      <c r="AC121" s="51"/>
      <c r="AD121" s="51"/>
      <c r="AE121" s="51"/>
      <c r="AF121" s="50"/>
      <c r="AG121" s="51"/>
      <c r="AH121" s="54"/>
      <c r="AI121" s="51"/>
      <c r="AJ121" s="55" t="str">
        <f aca="false">IF(AH121="","",EDATE(AH121,60))</f>
        <v/>
      </c>
      <c r="AK121" s="49" t="str">
        <f aca="true">IF(B121="","",IF(OR(AG121="Non",AH121=""),"FDS ABSENTE",IF(TODAY()&gt;=EDATE(AH121,60),"EXPIRÉE",IF(TODAY()&gt;=EDATE(AH121,54),"À RENOUVELER","CONFORME"))))</f>
        <v/>
      </c>
      <c r="AL121" s="50"/>
      <c r="AM121" s="54"/>
      <c r="AN121" s="54"/>
      <c r="AO121" s="50"/>
      <c r="AP121" s="50"/>
      <c r="AQ121" s="50"/>
      <c r="AR121" s="50"/>
      <c r="AS121" s="50"/>
      <c r="AT121" s="50"/>
      <c r="AU121" s="50"/>
      <c r="AV121" s="50"/>
      <c r="AW121" s="52"/>
      <c r="AX121" s="52"/>
      <c r="AY121" s="56" t="str">
        <f aca="false">IF(OR(AW121="",AX121=""),"",AW121*AX121)</f>
        <v/>
      </c>
      <c r="AZ121" s="52"/>
      <c r="BA121" s="56" t="str">
        <f aca="false">IF(AY121="","",IF(AZ121="",AY121,ROUNDUP(AY121/AZ121,0)))</f>
        <v/>
      </c>
      <c r="BB121" s="49" t="str">
        <f aca="false">IF(BA121="","",IF(BA121&gt;=15,"P1 – Critique",IF(BA121&gt;=8,"P2 – Élevée",IF(BA121&gt;=4,"P3 – Modérée","P4 – Faible"))))</f>
        <v/>
      </c>
      <c r="BC121" s="50"/>
      <c r="BD121" s="50"/>
      <c r="BE121" s="54"/>
      <c r="BF121" s="57"/>
      <c r="BG121" s="50"/>
      <c r="BH121" s="54"/>
      <c r="BI121" s="54"/>
      <c r="BJ121" s="50"/>
      <c r="BK121" s="50"/>
    </row>
    <row r="122" customFormat="false" ht="15" hidden="false" customHeight="false" outlineLevel="0" collapsed="false">
      <c r="A122" s="49" t="str">
        <f aca="false">IF(B122="","","PC-"&amp;TEXT(ROW()-2,"000"))</f>
        <v/>
      </c>
      <c r="B122" s="50"/>
      <c r="C122" s="50"/>
      <c r="D122" s="51"/>
      <c r="E122" s="51"/>
      <c r="F122" s="51"/>
      <c r="G122" s="50"/>
      <c r="H122" s="50"/>
      <c r="I122" s="50"/>
      <c r="J122" s="51"/>
      <c r="K122" s="50"/>
      <c r="L122" s="50"/>
      <c r="M122" s="50"/>
      <c r="N122" s="50"/>
      <c r="O122" s="52"/>
      <c r="P122" s="50"/>
      <c r="Q122" s="52"/>
      <c r="R122" s="52"/>
      <c r="S122" s="49" t="str">
        <f aca="false">IF(B122="","",IF(OR(O122="",R122=""),"—",IF(O122&lt;=R122,"⚠ RÉAPPRO","OK")))</f>
        <v/>
      </c>
      <c r="T122" s="50"/>
      <c r="U122" s="50"/>
      <c r="V122" s="50"/>
      <c r="W122" s="50"/>
      <c r="X122" s="50"/>
      <c r="Y122" s="53" t="str">
        <f aca="false">IF(B122="","",IF(X122="","—",IF(X122="Non classé","Non classé",IFERROR(INDEX(RefH_Classe,MATCH(TRIM(LEFT(X122,FIND(",",X122&amp;",")-1)),RefH_Code,0)),"Code H inconnu"))))</f>
        <v/>
      </c>
      <c r="Z122" s="50"/>
      <c r="AA122" s="50"/>
      <c r="AB122" s="51"/>
      <c r="AC122" s="51"/>
      <c r="AD122" s="51"/>
      <c r="AE122" s="51"/>
      <c r="AF122" s="50"/>
      <c r="AG122" s="51"/>
      <c r="AH122" s="54"/>
      <c r="AI122" s="51"/>
      <c r="AJ122" s="55" t="str">
        <f aca="false">IF(AH122="","",EDATE(AH122,60))</f>
        <v/>
      </c>
      <c r="AK122" s="49" t="str">
        <f aca="true">IF(B122="","",IF(OR(AG122="Non",AH122=""),"FDS ABSENTE",IF(TODAY()&gt;=EDATE(AH122,60),"EXPIRÉE",IF(TODAY()&gt;=EDATE(AH122,54),"À RENOUVELER","CONFORME"))))</f>
        <v/>
      </c>
      <c r="AL122" s="50"/>
      <c r="AM122" s="54"/>
      <c r="AN122" s="54"/>
      <c r="AO122" s="50"/>
      <c r="AP122" s="50"/>
      <c r="AQ122" s="50"/>
      <c r="AR122" s="50"/>
      <c r="AS122" s="50"/>
      <c r="AT122" s="50"/>
      <c r="AU122" s="50"/>
      <c r="AV122" s="50"/>
      <c r="AW122" s="52"/>
      <c r="AX122" s="52"/>
      <c r="AY122" s="56" t="str">
        <f aca="false">IF(OR(AW122="",AX122=""),"",AW122*AX122)</f>
        <v/>
      </c>
      <c r="AZ122" s="52"/>
      <c r="BA122" s="56" t="str">
        <f aca="false">IF(AY122="","",IF(AZ122="",AY122,ROUNDUP(AY122/AZ122,0)))</f>
        <v/>
      </c>
      <c r="BB122" s="49" t="str">
        <f aca="false">IF(BA122="","",IF(BA122&gt;=15,"P1 – Critique",IF(BA122&gt;=8,"P2 – Élevée",IF(BA122&gt;=4,"P3 – Modérée","P4 – Faible"))))</f>
        <v/>
      </c>
      <c r="BC122" s="50"/>
      <c r="BD122" s="50"/>
      <c r="BE122" s="54"/>
      <c r="BF122" s="57"/>
      <c r="BG122" s="50"/>
      <c r="BH122" s="54"/>
      <c r="BI122" s="54"/>
      <c r="BJ122" s="50"/>
      <c r="BK122" s="50"/>
    </row>
    <row r="123" customFormat="false" ht="15" hidden="false" customHeight="false" outlineLevel="0" collapsed="false">
      <c r="A123" s="49" t="str">
        <f aca="false">IF(B123="","","PC-"&amp;TEXT(ROW()-2,"000"))</f>
        <v/>
      </c>
      <c r="B123" s="50"/>
      <c r="C123" s="50"/>
      <c r="D123" s="51"/>
      <c r="E123" s="51"/>
      <c r="F123" s="51"/>
      <c r="G123" s="50"/>
      <c r="H123" s="50"/>
      <c r="I123" s="50"/>
      <c r="J123" s="51"/>
      <c r="K123" s="50"/>
      <c r="L123" s="50"/>
      <c r="M123" s="50"/>
      <c r="N123" s="50"/>
      <c r="O123" s="52"/>
      <c r="P123" s="50"/>
      <c r="Q123" s="52"/>
      <c r="R123" s="52"/>
      <c r="S123" s="49" t="str">
        <f aca="false">IF(B123="","",IF(OR(O123="",R123=""),"—",IF(O123&lt;=R123,"⚠ RÉAPPRO","OK")))</f>
        <v/>
      </c>
      <c r="T123" s="50"/>
      <c r="U123" s="50"/>
      <c r="V123" s="50"/>
      <c r="W123" s="50"/>
      <c r="X123" s="50"/>
      <c r="Y123" s="53" t="str">
        <f aca="false">IF(B123="","",IF(X123="","—",IF(X123="Non classé","Non classé",IFERROR(INDEX(RefH_Classe,MATCH(TRIM(LEFT(X123,FIND(",",X123&amp;",")-1)),RefH_Code,0)),"Code H inconnu"))))</f>
        <v/>
      </c>
      <c r="Z123" s="50"/>
      <c r="AA123" s="50"/>
      <c r="AB123" s="51"/>
      <c r="AC123" s="51"/>
      <c r="AD123" s="51"/>
      <c r="AE123" s="51"/>
      <c r="AF123" s="50"/>
      <c r="AG123" s="51"/>
      <c r="AH123" s="54"/>
      <c r="AI123" s="51"/>
      <c r="AJ123" s="55" t="str">
        <f aca="false">IF(AH123="","",EDATE(AH123,60))</f>
        <v/>
      </c>
      <c r="AK123" s="49" t="str">
        <f aca="true">IF(B123="","",IF(OR(AG123="Non",AH123=""),"FDS ABSENTE",IF(TODAY()&gt;=EDATE(AH123,60),"EXPIRÉE",IF(TODAY()&gt;=EDATE(AH123,54),"À RENOUVELER","CONFORME"))))</f>
        <v/>
      </c>
      <c r="AL123" s="50"/>
      <c r="AM123" s="54"/>
      <c r="AN123" s="54"/>
      <c r="AO123" s="50"/>
      <c r="AP123" s="50"/>
      <c r="AQ123" s="50"/>
      <c r="AR123" s="50"/>
      <c r="AS123" s="50"/>
      <c r="AT123" s="50"/>
      <c r="AU123" s="50"/>
      <c r="AV123" s="50"/>
      <c r="AW123" s="52"/>
      <c r="AX123" s="52"/>
      <c r="AY123" s="56" t="str">
        <f aca="false">IF(OR(AW123="",AX123=""),"",AW123*AX123)</f>
        <v/>
      </c>
      <c r="AZ123" s="52"/>
      <c r="BA123" s="56" t="str">
        <f aca="false">IF(AY123="","",IF(AZ123="",AY123,ROUNDUP(AY123/AZ123,0)))</f>
        <v/>
      </c>
      <c r="BB123" s="49" t="str">
        <f aca="false">IF(BA123="","",IF(BA123&gt;=15,"P1 – Critique",IF(BA123&gt;=8,"P2 – Élevée",IF(BA123&gt;=4,"P3 – Modérée","P4 – Faible"))))</f>
        <v/>
      </c>
      <c r="BC123" s="50"/>
      <c r="BD123" s="50"/>
      <c r="BE123" s="54"/>
      <c r="BF123" s="57"/>
      <c r="BG123" s="50"/>
      <c r="BH123" s="54"/>
      <c r="BI123" s="54"/>
      <c r="BJ123" s="50"/>
      <c r="BK123" s="50"/>
    </row>
    <row r="124" customFormat="false" ht="15" hidden="false" customHeight="false" outlineLevel="0" collapsed="false">
      <c r="A124" s="49" t="str">
        <f aca="false">IF(B124="","","PC-"&amp;TEXT(ROW()-2,"000"))</f>
        <v/>
      </c>
      <c r="B124" s="50"/>
      <c r="C124" s="50"/>
      <c r="D124" s="51"/>
      <c r="E124" s="51"/>
      <c r="F124" s="51"/>
      <c r="G124" s="50"/>
      <c r="H124" s="50"/>
      <c r="I124" s="50"/>
      <c r="J124" s="51"/>
      <c r="K124" s="50"/>
      <c r="L124" s="50"/>
      <c r="M124" s="50"/>
      <c r="N124" s="50"/>
      <c r="O124" s="52"/>
      <c r="P124" s="50"/>
      <c r="Q124" s="52"/>
      <c r="R124" s="52"/>
      <c r="S124" s="49" t="str">
        <f aca="false">IF(B124="","",IF(OR(O124="",R124=""),"—",IF(O124&lt;=R124,"⚠ RÉAPPRO","OK")))</f>
        <v/>
      </c>
      <c r="T124" s="50"/>
      <c r="U124" s="50"/>
      <c r="V124" s="50"/>
      <c r="W124" s="50"/>
      <c r="X124" s="50"/>
      <c r="Y124" s="53" t="str">
        <f aca="false">IF(B124="","",IF(X124="","—",IF(X124="Non classé","Non classé",IFERROR(INDEX(RefH_Classe,MATCH(TRIM(LEFT(X124,FIND(",",X124&amp;",")-1)),RefH_Code,0)),"Code H inconnu"))))</f>
        <v/>
      </c>
      <c r="Z124" s="50"/>
      <c r="AA124" s="50"/>
      <c r="AB124" s="51"/>
      <c r="AC124" s="51"/>
      <c r="AD124" s="51"/>
      <c r="AE124" s="51"/>
      <c r="AF124" s="50"/>
      <c r="AG124" s="51"/>
      <c r="AH124" s="54"/>
      <c r="AI124" s="51"/>
      <c r="AJ124" s="55" t="str">
        <f aca="false">IF(AH124="","",EDATE(AH124,60))</f>
        <v/>
      </c>
      <c r="AK124" s="49" t="str">
        <f aca="true">IF(B124="","",IF(OR(AG124="Non",AH124=""),"FDS ABSENTE",IF(TODAY()&gt;=EDATE(AH124,60),"EXPIRÉE",IF(TODAY()&gt;=EDATE(AH124,54),"À RENOUVELER","CONFORME"))))</f>
        <v/>
      </c>
      <c r="AL124" s="50"/>
      <c r="AM124" s="54"/>
      <c r="AN124" s="54"/>
      <c r="AO124" s="50"/>
      <c r="AP124" s="50"/>
      <c r="AQ124" s="50"/>
      <c r="AR124" s="50"/>
      <c r="AS124" s="50"/>
      <c r="AT124" s="50"/>
      <c r="AU124" s="50"/>
      <c r="AV124" s="50"/>
      <c r="AW124" s="52"/>
      <c r="AX124" s="52"/>
      <c r="AY124" s="56" t="str">
        <f aca="false">IF(OR(AW124="",AX124=""),"",AW124*AX124)</f>
        <v/>
      </c>
      <c r="AZ124" s="52"/>
      <c r="BA124" s="56" t="str">
        <f aca="false">IF(AY124="","",IF(AZ124="",AY124,ROUNDUP(AY124/AZ124,0)))</f>
        <v/>
      </c>
      <c r="BB124" s="49" t="str">
        <f aca="false">IF(BA124="","",IF(BA124&gt;=15,"P1 – Critique",IF(BA124&gt;=8,"P2 – Élevée",IF(BA124&gt;=4,"P3 – Modérée","P4 – Faible"))))</f>
        <v/>
      </c>
      <c r="BC124" s="50"/>
      <c r="BD124" s="50"/>
      <c r="BE124" s="54"/>
      <c r="BF124" s="57"/>
      <c r="BG124" s="50"/>
      <c r="BH124" s="54"/>
      <c r="BI124" s="54"/>
      <c r="BJ124" s="50"/>
      <c r="BK124" s="50"/>
    </row>
    <row r="125" customFormat="false" ht="15" hidden="false" customHeight="false" outlineLevel="0" collapsed="false">
      <c r="A125" s="49" t="str">
        <f aca="false">IF(B125="","","PC-"&amp;TEXT(ROW()-2,"000"))</f>
        <v/>
      </c>
      <c r="B125" s="50"/>
      <c r="C125" s="50"/>
      <c r="D125" s="51"/>
      <c r="E125" s="51"/>
      <c r="F125" s="51"/>
      <c r="G125" s="50"/>
      <c r="H125" s="50"/>
      <c r="I125" s="50"/>
      <c r="J125" s="51"/>
      <c r="K125" s="50"/>
      <c r="L125" s="50"/>
      <c r="M125" s="50"/>
      <c r="N125" s="50"/>
      <c r="O125" s="52"/>
      <c r="P125" s="50"/>
      <c r="Q125" s="52"/>
      <c r="R125" s="52"/>
      <c r="S125" s="49" t="str">
        <f aca="false">IF(B125="","",IF(OR(O125="",R125=""),"—",IF(O125&lt;=R125,"⚠ RÉAPPRO","OK")))</f>
        <v/>
      </c>
      <c r="T125" s="50"/>
      <c r="U125" s="50"/>
      <c r="V125" s="50"/>
      <c r="W125" s="50"/>
      <c r="X125" s="50"/>
      <c r="Y125" s="53" t="str">
        <f aca="false">IF(B125="","",IF(X125="","—",IF(X125="Non classé","Non classé",IFERROR(INDEX(RefH_Classe,MATCH(TRIM(LEFT(X125,FIND(",",X125&amp;",")-1)),RefH_Code,0)),"Code H inconnu"))))</f>
        <v/>
      </c>
      <c r="Z125" s="50"/>
      <c r="AA125" s="50"/>
      <c r="AB125" s="51"/>
      <c r="AC125" s="51"/>
      <c r="AD125" s="51"/>
      <c r="AE125" s="51"/>
      <c r="AF125" s="50"/>
      <c r="AG125" s="51"/>
      <c r="AH125" s="54"/>
      <c r="AI125" s="51"/>
      <c r="AJ125" s="55" t="str">
        <f aca="false">IF(AH125="","",EDATE(AH125,60))</f>
        <v/>
      </c>
      <c r="AK125" s="49" t="str">
        <f aca="true">IF(B125="","",IF(OR(AG125="Non",AH125=""),"FDS ABSENTE",IF(TODAY()&gt;=EDATE(AH125,60),"EXPIRÉE",IF(TODAY()&gt;=EDATE(AH125,54),"À RENOUVELER","CONFORME"))))</f>
        <v/>
      </c>
      <c r="AL125" s="50"/>
      <c r="AM125" s="54"/>
      <c r="AN125" s="54"/>
      <c r="AO125" s="50"/>
      <c r="AP125" s="50"/>
      <c r="AQ125" s="50"/>
      <c r="AR125" s="50"/>
      <c r="AS125" s="50"/>
      <c r="AT125" s="50"/>
      <c r="AU125" s="50"/>
      <c r="AV125" s="50"/>
      <c r="AW125" s="52"/>
      <c r="AX125" s="52"/>
      <c r="AY125" s="56" t="str">
        <f aca="false">IF(OR(AW125="",AX125=""),"",AW125*AX125)</f>
        <v/>
      </c>
      <c r="AZ125" s="52"/>
      <c r="BA125" s="56" t="str">
        <f aca="false">IF(AY125="","",IF(AZ125="",AY125,ROUNDUP(AY125/AZ125,0)))</f>
        <v/>
      </c>
      <c r="BB125" s="49" t="str">
        <f aca="false">IF(BA125="","",IF(BA125&gt;=15,"P1 – Critique",IF(BA125&gt;=8,"P2 – Élevée",IF(BA125&gt;=4,"P3 – Modérée","P4 – Faible"))))</f>
        <v/>
      </c>
      <c r="BC125" s="50"/>
      <c r="BD125" s="50"/>
      <c r="BE125" s="54"/>
      <c r="BF125" s="57"/>
      <c r="BG125" s="50"/>
      <c r="BH125" s="54"/>
      <c r="BI125" s="54"/>
      <c r="BJ125" s="50"/>
      <c r="BK125" s="50"/>
    </row>
    <row r="126" customFormat="false" ht="15" hidden="false" customHeight="false" outlineLevel="0" collapsed="false">
      <c r="A126" s="49" t="str">
        <f aca="false">IF(B126="","","PC-"&amp;TEXT(ROW()-2,"000"))</f>
        <v/>
      </c>
      <c r="B126" s="50"/>
      <c r="C126" s="50"/>
      <c r="D126" s="51"/>
      <c r="E126" s="51"/>
      <c r="F126" s="51"/>
      <c r="G126" s="50"/>
      <c r="H126" s="50"/>
      <c r="I126" s="50"/>
      <c r="J126" s="51"/>
      <c r="K126" s="50"/>
      <c r="L126" s="50"/>
      <c r="M126" s="50"/>
      <c r="N126" s="50"/>
      <c r="O126" s="52"/>
      <c r="P126" s="50"/>
      <c r="Q126" s="52"/>
      <c r="R126" s="52"/>
      <c r="S126" s="49" t="str">
        <f aca="false">IF(B126="","",IF(OR(O126="",R126=""),"—",IF(O126&lt;=R126,"⚠ RÉAPPRO","OK")))</f>
        <v/>
      </c>
      <c r="T126" s="50"/>
      <c r="U126" s="50"/>
      <c r="V126" s="50"/>
      <c r="W126" s="50"/>
      <c r="X126" s="50"/>
      <c r="Y126" s="53" t="str">
        <f aca="false">IF(B126="","",IF(X126="","—",IF(X126="Non classé","Non classé",IFERROR(INDEX(RefH_Classe,MATCH(TRIM(LEFT(X126,FIND(",",X126&amp;",")-1)),RefH_Code,0)),"Code H inconnu"))))</f>
        <v/>
      </c>
      <c r="Z126" s="50"/>
      <c r="AA126" s="50"/>
      <c r="AB126" s="51"/>
      <c r="AC126" s="51"/>
      <c r="AD126" s="51"/>
      <c r="AE126" s="51"/>
      <c r="AF126" s="50"/>
      <c r="AG126" s="51"/>
      <c r="AH126" s="54"/>
      <c r="AI126" s="51"/>
      <c r="AJ126" s="55" t="str">
        <f aca="false">IF(AH126="","",EDATE(AH126,60))</f>
        <v/>
      </c>
      <c r="AK126" s="49" t="str">
        <f aca="true">IF(B126="","",IF(OR(AG126="Non",AH126=""),"FDS ABSENTE",IF(TODAY()&gt;=EDATE(AH126,60),"EXPIRÉE",IF(TODAY()&gt;=EDATE(AH126,54),"À RENOUVELER","CONFORME"))))</f>
        <v/>
      </c>
      <c r="AL126" s="50"/>
      <c r="AM126" s="54"/>
      <c r="AN126" s="54"/>
      <c r="AO126" s="50"/>
      <c r="AP126" s="50"/>
      <c r="AQ126" s="50"/>
      <c r="AR126" s="50"/>
      <c r="AS126" s="50"/>
      <c r="AT126" s="50"/>
      <c r="AU126" s="50"/>
      <c r="AV126" s="50"/>
      <c r="AW126" s="52"/>
      <c r="AX126" s="52"/>
      <c r="AY126" s="56" t="str">
        <f aca="false">IF(OR(AW126="",AX126=""),"",AW126*AX126)</f>
        <v/>
      </c>
      <c r="AZ126" s="52"/>
      <c r="BA126" s="56" t="str">
        <f aca="false">IF(AY126="","",IF(AZ126="",AY126,ROUNDUP(AY126/AZ126,0)))</f>
        <v/>
      </c>
      <c r="BB126" s="49" t="str">
        <f aca="false">IF(BA126="","",IF(BA126&gt;=15,"P1 – Critique",IF(BA126&gt;=8,"P2 – Élevée",IF(BA126&gt;=4,"P3 – Modérée","P4 – Faible"))))</f>
        <v/>
      </c>
      <c r="BC126" s="50"/>
      <c r="BD126" s="50"/>
      <c r="BE126" s="54"/>
      <c r="BF126" s="57"/>
      <c r="BG126" s="50"/>
      <c r="BH126" s="54"/>
      <c r="BI126" s="54"/>
      <c r="BJ126" s="50"/>
      <c r="BK126" s="50"/>
    </row>
    <row r="127" customFormat="false" ht="15" hidden="false" customHeight="false" outlineLevel="0" collapsed="false">
      <c r="A127" s="49" t="str">
        <f aca="false">IF(B127="","","PC-"&amp;TEXT(ROW()-2,"000"))</f>
        <v/>
      </c>
      <c r="B127" s="50"/>
      <c r="C127" s="50"/>
      <c r="D127" s="51"/>
      <c r="E127" s="51"/>
      <c r="F127" s="51"/>
      <c r="G127" s="50"/>
      <c r="H127" s="50"/>
      <c r="I127" s="50"/>
      <c r="J127" s="51"/>
      <c r="K127" s="50"/>
      <c r="L127" s="50"/>
      <c r="M127" s="50"/>
      <c r="N127" s="50"/>
      <c r="O127" s="52"/>
      <c r="P127" s="50"/>
      <c r="Q127" s="52"/>
      <c r="R127" s="52"/>
      <c r="S127" s="49" t="str">
        <f aca="false">IF(B127="","",IF(OR(O127="",R127=""),"—",IF(O127&lt;=R127,"⚠ RÉAPPRO","OK")))</f>
        <v/>
      </c>
      <c r="T127" s="50"/>
      <c r="U127" s="50"/>
      <c r="V127" s="50"/>
      <c r="W127" s="50"/>
      <c r="X127" s="50"/>
      <c r="Y127" s="53" t="str">
        <f aca="false">IF(B127="","",IF(X127="","—",IF(X127="Non classé","Non classé",IFERROR(INDEX(RefH_Classe,MATCH(TRIM(LEFT(X127,FIND(",",X127&amp;",")-1)),RefH_Code,0)),"Code H inconnu"))))</f>
        <v/>
      </c>
      <c r="Z127" s="50"/>
      <c r="AA127" s="50"/>
      <c r="AB127" s="51"/>
      <c r="AC127" s="51"/>
      <c r="AD127" s="51"/>
      <c r="AE127" s="51"/>
      <c r="AF127" s="50"/>
      <c r="AG127" s="51"/>
      <c r="AH127" s="54"/>
      <c r="AI127" s="51"/>
      <c r="AJ127" s="55" t="str">
        <f aca="false">IF(AH127="","",EDATE(AH127,60))</f>
        <v/>
      </c>
      <c r="AK127" s="49" t="str">
        <f aca="true">IF(B127="","",IF(OR(AG127="Non",AH127=""),"FDS ABSENTE",IF(TODAY()&gt;=EDATE(AH127,60),"EXPIRÉE",IF(TODAY()&gt;=EDATE(AH127,54),"À RENOUVELER","CONFORME"))))</f>
        <v/>
      </c>
      <c r="AL127" s="50"/>
      <c r="AM127" s="54"/>
      <c r="AN127" s="54"/>
      <c r="AO127" s="50"/>
      <c r="AP127" s="50"/>
      <c r="AQ127" s="50"/>
      <c r="AR127" s="50"/>
      <c r="AS127" s="50"/>
      <c r="AT127" s="50"/>
      <c r="AU127" s="50"/>
      <c r="AV127" s="50"/>
      <c r="AW127" s="52"/>
      <c r="AX127" s="52"/>
      <c r="AY127" s="56" t="str">
        <f aca="false">IF(OR(AW127="",AX127=""),"",AW127*AX127)</f>
        <v/>
      </c>
      <c r="AZ127" s="52"/>
      <c r="BA127" s="56" t="str">
        <f aca="false">IF(AY127="","",IF(AZ127="",AY127,ROUNDUP(AY127/AZ127,0)))</f>
        <v/>
      </c>
      <c r="BB127" s="49" t="str">
        <f aca="false">IF(BA127="","",IF(BA127&gt;=15,"P1 – Critique",IF(BA127&gt;=8,"P2 – Élevée",IF(BA127&gt;=4,"P3 – Modérée","P4 – Faible"))))</f>
        <v/>
      </c>
      <c r="BC127" s="50"/>
      <c r="BD127" s="50"/>
      <c r="BE127" s="54"/>
      <c r="BF127" s="57"/>
      <c r="BG127" s="50"/>
      <c r="BH127" s="54"/>
      <c r="BI127" s="54"/>
      <c r="BJ127" s="50"/>
      <c r="BK127" s="50"/>
    </row>
    <row r="128" customFormat="false" ht="15" hidden="false" customHeight="false" outlineLevel="0" collapsed="false">
      <c r="A128" s="49" t="str">
        <f aca="false">IF(B128="","","PC-"&amp;TEXT(ROW()-2,"000"))</f>
        <v/>
      </c>
      <c r="B128" s="50"/>
      <c r="C128" s="50"/>
      <c r="D128" s="51"/>
      <c r="E128" s="51"/>
      <c r="F128" s="51"/>
      <c r="G128" s="50"/>
      <c r="H128" s="50"/>
      <c r="I128" s="50"/>
      <c r="J128" s="51"/>
      <c r="K128" s="50"/>
      <c r="L128" s="50"/>
      <c r="M128" s="50"/>
      <c r="N128" s="50"/>
      <c r="O128" s="52"/>
      <c r="P128" s="50"/>
      <c r="Q128" s="52"/>
      <c r="R128" s="52"/>
      <c r="S128" s="49" t="str">
        <f aca="false">IF(B128="","",IF(OR(O128="",R128=""),"—",IF(O128&lt;=R128,"⚠ RÉAPPRO","OK")))</f>
        <v/>
      </c>
      <c r="T128" s="50"/>
      <c r="U128" s="50"/>
      <c r="V128" s="50"/>
      <c r="W128" s="50"/>
      <c r="X128" s="50"/>
      <c r="Y128" s="53" t="str">
        <f aca="false">IF(B128="","",IF(X128="","—",IF(X128="Non classé","Non classé",IFERROR(INDEX(RefH_Classe,MATCH(TRIM(LEFT(X128,FIND(",",X128&amp;",")-1)),RefH_Code,0)),"Code H inconnu"))))</f>
        <v/>
      </c>
      <c r="Z128" s="50"/>
      <c r="AA128" s="50"/>
      <c r="AB128" s="51"/>
      <c r="AC128" s="51"/>
      <c r="AD128" s="51"/>
      <c r="AE128" s="51"/>
      <c r="AF128" s="50"/>
      <c r="AG128" s="51"/>
      <c r="AH128" s="54"/>
      <c r="AI128" s="51"/>
      <c r="AJ128" s="55" t="str">
        <f aca="false">IF(AH128="","",EDATE(AH128,60))</f>
        <v/>
      </c>
      <c r="AK128" s="49" t="str">
        <f aca="true">IF(B128="","",IF(OR(AG128="Non",AH128=""),"FDS ABSENTE",IF(TODAY()&gt;=EDATE(AH128,60),"EXPIRÉE",IF(TODAY()&gt;=EDATE(AH128,54),"À RENOUVELER","CONFORME"))))</f>
        <v/>
      </c>
      <c r="AL128" s="50"/>
      <c r="AM128" s="54"/>
      <c r="AN128" s="54"/>
      <c r="AO128" s="50"/>
      <c r="AP128" s="50"/>
      <c r="AQ128" s="50"/>
      <c r="AR128" s="50"/>
      <c r="AS128" s="50"/>
      <c r="AT128" s="50"/>
      <c r="AU128" s="50"/>
      <c r="AV128" s="50"/>
      <c r="AW128" s="52"/>
      <c r="AX128" s="52"/>
      <c r="AY128" s="56" t="str">
        <f aca="false">IF(OR(AW128="",AX128=""),"",AW128*AX128)</f>
        <v/>
      </c>
      <c r="AZ128" s="52"/>
      <c r="BA128" s="56" t="str">
        <f aca="false">IF(AY128="","",IF(AZ128="",AY128,ROUNDUP(AY128/AZ128,0)))</f>
        <v/>
      </c>
      <c r="BB128" s="49" t="str">
        <f aca="false">IF(BA128="","",IF(BA128&gt;=15,"P1 – Critique",IF(BA128&gt;=8,"P2 – Élevée",IF(BA128&gt;=4,"P3 – Modérée","P4 – Faible"))))</f>
        <v/>
      </c>
      <c r="BC128" s="50"/>
      <c r="BD128" s="50"/>
      <c r="BE128" s="54"/>
      <c r="BF128" s="57"/>
      <c r="BG128" s="50"/>
      <c r="BH128" s="54"/>
      <c r="BI128" s="54"/>
      <c r="BJ128" s="50"/>
      <c r="BK128" s="50"/>
    </row>
    <row r="129" customFormat="false" ht="15" hidden="false" customHeight="false" outlineLevel="0" collapsed="false">
      <c r="A129" s="49" t="str">
        <f aca="false">IF(B129="","","PC-"&amp;TEXT(ROW()-2,"000"))</f>
        <v/>
      </c>
      <c r="B129" s="50"/>
      <c r="C129" s="50"/>
      <c r="D129" s="51"/>
      <c r="E129" s="51"/>
      <c r="F129" s="51"/>
      <c r="G129" s="50"/>
      <c r="H129" s="50"/>
      <c r="I129" s="50"/>
      <c r="J129" s="51"/>
      <c r="K129" s="50"/>
      <c r="L129" s="50"/>
      <c r="M129" s="50"/>
      <c r="N129" s="50"/>
      <c r="O129" s="52"/>
      <c r="P129" s="50"/>
      <c r="Q129" s="52"/>
      <c r="R129" s="52"/>
      <c r="S129" s="49" t="str">
        <f aca="false">IF(B129="","",IF(OR(O129="",R129=""),"—",IF(O129&lt;=R129,"⚠ RÉAPPRO","OK")))</f>
        <v/>
      </c>
      <c r="T129" s="50"/>
      <c r="U129" s="50"/>
      <c r="V129" s="50"/>
      <c r="W129" s="50"/>
      <c r="X129" s="50"/>
      <c r="Y129" s="53" t="str">
        <f aca="false">IF(B129="","",IF(X129="","—",IF(X129="Non classé","Non classé",IFERROR(INDEX(RefH_Classe,MATCH(TRIM(LEFT(X129,FIND(",",X129&amp;",")-1)),RefH_Code,0)),"Code H inconnu"))))</f>
        <v/>
      </c>
      <c r="Z129" s="50"/>
      <c r="AA129" s="50"/>
      <c r="AB129" s="51"/>
      <c r="AC129" s="51"/>
      <c r="AD129" s="51"/>
      <c r="AE129" s="51"/>
      <c r="AF129" s="50"/>
      <c r="AG129" s="51"/>
      <c r="AH129" s="54"/>
      <c r="AI129" s="51"/>
      <c r="AJ129" s="55" t="str">
        <f aca="false">IF(AH129="","",EDATE(AH129,60))</f>
        <v/>
      </c>
      <c r="AK129" s="49" t="str">
        <f aca="true">IF(B129="","",IF(OR(AG129="Non",AH129=""),"FDS ABSENTE",IF(TODAY()&gt;=EDATE(AH129,60),"EXPIRÉE",IF(TODAY()&gt;=EDATE(AH129,54),"À RENOUVELER","CONFORME"))))</f>
        <v/>
      </c>
      <c r="AL129" s="50"/>
      <c r="AM129" s="54"/>
      <c r="AN129" s="54"/>
      <c r="AO129" s="50"/>
      <c r="AP129" s="50"/>
      <c r="AQ129" s="50"/>
      <c r="AR129" s="50"/>
      <c r="AS129" s="50"/>
      <c r="AT129" s="50"/>
      <c r="AU129" s="50"/>
      <c r="AV129" s="50"/>
      <c r="AW129" s="52"/>
      <c r="AX129" s="52"/>
      <c r="AY129" s="56" t="str">
        <f aca="false">IF(OR(AW129="",AX129=""),"",AW129*AX129)</f>
        <v/>
      </c>
      <c r="AZ129" s="52"/>
      <c r="BA129" s="56" t="str">
        <f aca="false">IF(AY129="","",IF(AZ129="",AY129,ROUNDUP(AY129/AZ129,0)))</f>
        <v/>
      </c>
      <c r="BB129" s="49" t="str">
        <f aca="false">IF(BA129="","",IF(BA129&gt;=15,"P1 – Critique",IF(BA129&gt;=8,"P2 – Élevée",IF(BA129&gt;=4,"P3 – Modérée","P4 – Faible"))))</f>
        <v/>
      </c>
      <c r="BC129" s="50"/>
      <c r="BD129" s="50"/>
      <c r="BE129" s="54"/>
      <c r="BF129" s="57"/>
      <c r="BG129" s="50"/>
      <c r="BH129" s="54"/>
      <c r="BI129" s="54"/>
      <c r="BJ129" s="50"/>
      <c r="BK129" s="50"/>
    </row>
    <row r="130" customFormat="false" ht="15" hidden="false" customHeight="false" outlineLevel="0" collapsed="false">
      <c r="A130" s="49" t="str">
        <f aca="false">IF(B130="","","PC-"&amp;TEXT(ROW()-2,"000"))</f>
        <v/>
      </c>
      <c r="B130" s="50"/>
      <c r="C130" s="50"/>
      <c r="D130" s="51"/>
      <c r="E130" s="51"/>
      <c r="F130" s="51"/>
      <c r="G130" s="50"/>
      <c r="H130" s="50"/>
      <c r="I130" s="50"/>
      <c r="J130" s="51"/>
      <c r="K130" s="50"/>
      <c r="L130" s="50"/>
      <c r="M130" s="50"/>
      <c r="N130" s="50"/>
      <c r="O130" s="52"/>
      <c r="P130" s="50"/>
      <c r="Q130" s="52"/>
      <c r="R130" s="52"/>
      <c r="S130" s="49" t="str">
        <f aca="false">IF(B130="","",IF(OR(O130="",R130=""),"—",IF(O130&lt;=R130,"⚠ RÉAPPRO","OK")))</f>
        <v/>
      </c>
      <c r="T130" s="50"/>
      <c r="U130" s="50"/>
      <c r="V130" s="50"/>
      <c r="W130" s="50"/>
      <c r="X130" s="50"/>
      <c r="Y130" s="53" t="str">
        <f aca="false">IF(B130="","",IF(X130="","—",IF(X130="Non classé","Non classé",IFERROR(INDEX(RefH_Classe,MATCH(TRIM(LEFT(X130,FIND(",",X130&amp;",")-1)),RefH_Code,0)),"Code H inconnu"))))</f>
        <v/>
      </c>
      <c r="Z130" s="50"/>
      <c r="AA130" s="50"/>
      <c r="AB130" s="51"/>
      <c r="AC130" s="51"/>
      <c r="AD130" s="51"/>
      <c r="AE130" s="51"/>
      <c r="AF130" s="50"/>
      <c r="AG130" s="51"/>
      <c r="AH130" s="54"/>
      <c r="AI130" s="51"/>
      <c r="AJ130" s="55" t="str">
        <f aca="false">IF(AH130="","",EDATE(AH130,60))</f>
        <v/>
      </c>
      <c r="AK130" s="49" t="str">
        <f aca="true">IF(B130="","",IF(OR(AG130="Non",AH130=""),"FDS ABSENTE",IF(TODAY()&gt;=EDATE(AH130,60),"EXPIRÉE",IF(TODAY()&gt;=EDATE(AH130,54),"À RENOUVELER","CONFORME"))))</f>
        <v/>
      </c>
      <c r="AL130" s="50"/>
      <c r="AM130" s="54"/>
      <c r="AN130" s="54"/>
      <c r="AO130" s="50"/>
      <c r="AP130" s="50"/>
      <c r="AQ130" s="50"/>
      <c r="AR130" s="50"/>
      <c r="AS130" s="50"/>
      <c r="AT130" s="50"/>
      <c r="AU130" s="50"/>
      <c r="AV130" s="50"/>
      <c r="AW130" s="52"/>
      <c r="AX130" s="52"/>
      <c r="AY130" s="56" t="str">
        <f aca="false">IF(OR(AW130="",AX130=""),"",AW130*AX130)</f>
        <v/>
      </c>
      <c r="AZ130" s="52"/>
      <c r="BA130" s="56" t="str">
        <f aca="false">IF(AY130="","",IF(AZ130="",AY130,ROUNDUP(AY130/AZ130,0)))</f>
        <v/>
      </c>
      <c r="BB130" s="49" t="str">
        <f aca="false">IF(BA130="","",IF(BA130&gt;=15,"P1 – Critique",IF(BA130&gt;=8,"P2 – Élevée",IF(BA130&gt;=4,"P3 – Modérée","P4 – Faible"))))</f>
        <v/>
      </c>
      <c r="BC130" s="50"/>
      <c r="BD130" s="50"/>
      <c r="BE130" s="54"/>
      <c r="BF130" s="57"/>
      <c r="BG130" s="50"/>
      <c r="BH130" s="54"/>
      <c r="BI130" s="54"/>
      <c r="BJ130" s="50"/>
      <c r="BK130" s="50"/>
    </row>
    <row r="131" customFormat="false" ht="15" hidden="false" customHeight="false" outlineLevel="0" collapsed="false">
      <c r="A131" s="49" t="str">
        <f aca="false">IF(B131="","","PC-"&amp;TEXT(ROW()-2,"000"))</f>
        <v/>
      </c>
      <c r="B131" s="50"/>
      <c r="C131" s="50"/>
      <c r="D131" s="51"/>
      <c r="E131" s="51"/>
      <c r="F131" s="51"/>
      <c r="G131" s="50"/>
      <c r="H131" s="50"/>
      <c r="I131" s="50"/>
      <c r="J131" s="51"/>
      <c r="K131" s="50"/>
      <c r="L131" s="50"/>
      <c r="M131" s="50"/>
      <c r="N131" s="50"/>
      <c r="O131" s="52"/>
      <c r="P131" s="50"/>
      <c r="Q131" s="52"/>
      <c r="R131" s="52"/>
      <c r="S131" s="49" t="str">
        <f aca="false">IF(B131="","",IF(OR(O131="",R131=""),"—",IF(O131&lt;=R131,"⚠ RÉAPPRO","OK")))</f>
        <v/>
      </c>
      <c r="T131" s="50"/>
      <c r="U131" s="50"/>
      <c r="V131" s="50"/>
      <c r="W131" s="50"/>
      <c r="X131" s="50"/>
      <c r="Y131" s="53" t="str">
        <f aca="false">IF(B131="","",IF(X131="","—",IF(X131="Non classé","Non classé",IFERROR(INDEX(RefH_Classe,MATCH(TRIM(LEFT(X131,FIND(",",X131&amp;",")-1)),RefH_Code,0)),"Code H inconnu"))))</f>
        <v/>
      </c>
      <c r="Z131" s="50"/>
      <c r="AA131" s="50"/>
      <c r="AB131" s="51"/>
      <c r="AC131" s="51"/>
      <c r="AD131" s="51"/>
      <c r="AE131" s="51"/>
      <c r="AF131" s="50"/>
      <c r="AG131" s="51"/>
      <c r="AH131" s="54"/>
      <c r="AI131" s="51"/>
      <c r="AJ131" s="55" t="str">
        <f aca="false">IF(AH131="","",EDATE(AH131,60))</f>
        <v/>
      </c>
      <c r="AK131" s="49" t="str">
        <f aca="true">IF(B131="","",IF(OR(AG131="Non",AH131=""),"FDS ABSENTE",IF(TODAY()&gt;=EDATE(AH131,60),"EXPIRÉE",IF(TODAY()&gt;=EDATE(AH131,54),"À RENOUVELER","CONFORME"))))</f>
        <v/>
      </c>
      <c r="AL131" s="50"/>
      <c r="AM131" s="54"/>
      <c r="AN131" s="54"/>
      <c r="AO131" s="50"/>
      <c r="AP131" s="50"/>
      <c r="AQ131" s="50"/>
      <c r="AR131" s="50"/>
      <c r="AS131" s="50"/>
      <c r="AT131" s="50"/>
      <c r="AU131" s="50"/>
      <c r="AV131" s="50"/>
      <c r="AW131" s="52"/>
      <c r="AX131" s="52"/>
      <c r="AY131" s="56" t="str">
        <f aca="false">IF(OR(AW131="",AX131=""),"",AW131*AX131)</f>
        <v/>
      </c>
      <c r="AZ131" s="52"/>
      <c r="BA131" s="56" t="str">
        <f aca="false">IF(AY131="","",IF(AZ131="",AY131,ROUNDUP(AY131/AZ131,0)))</f>
        <v/>
      </c>
      <c r="BB131" s="49" t="str">
        <f aca="false">IF(BA131="","",IF(BA131&gt;=15,"P1 – Critique",IF(BA131&gt;=8,"P2 – Élevée",IF(BA131&gt;=4,"P3 – Modérée","P4 – Faible"))))</f>
        <v/>
      </c>
      <c r="BC131" s="50"/>
      <c r="BD131" s="50"/>
      <c r="BE131" s="54"/>
      <c r="BF131" s="57"/>
      <c r="BG131" s="50"/>
      <c r="BH131" s="54"/>
      <c r="BI131" s="54"/>
      <c r="BJ131" s="50"/>
      <c r="BK131" s="50"/>
    </row>
    <row r="132" customFormat="false" ht="15" hidden="false" customHeight="false" outlineLevel="0" collapsed="false">
      <c r="A132" s="49" t="str">
        <f aca="false">IF(B132="","","PC-"&amp;TEXT(ROW()-2,"000"))</f>
        <v/>
      </c>
      <c r="B132" s="50"/>
      <c r="C132" s="50"/>
      <c r="D132" s="51"/>
      <c r="E132" s="51"/>
      <c r="F132" s="51"/>
      <c r="G132" s="50"/>
      <c r="H132" s="50"/>
      <c r="I132" s="50"/>
      <c r="J132" s="51"/>
      <c r="K132" s="50"/>
      <c r="L132" s="50"/>
      <c r="M132" s="50"/>
      <c r="N132" s="50"/>
      <c r="O132" s="52"/>
      <c r="P132" s="50"/>
      <c r="Q132" s="52"/>
      <c r="R132" s="52"/>
      <c r="S132" s="49" t="str">
        <f aca="false">IF(B132="","",IF(OR(O132="",R132=""),"—",IF(O132&lt;=R132,"⚠ RÉAPPRO","OK")))</f>
        <v/>
      </c>
      <c r="T132" s="50"/>
      <c r="U132" s="50"/>
      <c r="V132" s="50"/>
      <c r="W132" s="50"/>
      <c r="X132" s="50"/>
      <c r="Y132" s="53" t="str">
        <f aca="false">IF(B132="","",IF(X132="","—",IF(X132="Non classé","Non classé",IFERROR(INDEX(RefH_Classe,MATCH(TRIM(LEFT(X132,FIND(",",X132&amp;",")-1)),RefH_Code,0)),"Code H inconnu"))))</f>
        <v/>
      </c>
      <c r="Z132" s="50"/>
      <c r="AA132" s="50"/>
      <c r="AB132" s="51"/>
      <c r="AC132" s="51"/>
      <c r="AD132" s="51"/>
      <c r="AE132" s="51"/>
      <c r="AF132" s="50"/>
      <c r="AG132" s="51"/>
      <c r="AH132" s="54"/>
      <c r="AI132" s="51"/>
      <c r="AJ132" s="55" t="str">
        <f aca="false">IF(AH132="","",EDATE(AH132,60))</f>
        <v/>
      </c>
      <c r="AK132" s="49" t="str">
        <f aca="true">IF(B132="","",IF(OR(AG132="Non",AH132=""),"FDS ABSENTE",IF(TODAY()&gt;=EDATE(AH132,60),"EXPIRÉE",IF(TODAY()&gt;=EDATE(AH132,54),"À RENOUVELER","CONFORME"))))</f>
        <v/>
      </c>
      <c r="AL132" s="50"/>
      <c r="AM132" s="54"/>
      <c r="AN132" s="54"/>
      <c r="AO132" s="50"/>
      <c r="AP132" s="50"/>
      <c r="AQ132" s="50"/>
      <c r="AR132" s="50"/>
      <c r="AS132" s="50"/>
      <c r="AT132" s="50"/>
      <c r="AU132" s="50"/>
      <c r="AV132" s="50"/>
      <c r="AW132" s="52"/>
      <c r="AX132" s="52"/>
      <c r="AY132" s="56" t="str">
        <f aca="false">IF(OR(AW132="",AX132=""),"",AW132*AX132)</f>
        <v/>
      </c>
      <c r="AZ132" s="52"/>
      <c r="BA132" s="56" t="str">
        <f aca="false">IF(AY132="","",IF(AZ132="",AY132,ROUNDUP(AY132/AZ132,0)))</f>
        <v/>
      </c>
      <c r="BB132" s="49" t="str">
        <f aca="false">IF(BA132="","",IF(BA132&gt;=15,"P1 – Critique",IF(BA132&gt;=8,"P2 – Élevée",IF(BA132&gt;=4,"P3 – Modérée","P4 – Faible"))))</f>
        <v/>
      </c>
      <c r="BC132" s="50"/>
      <c r="BD132" s="50"/>
      <c r="BE132" s="54"/>
      <c r="BF132" s="57"/>
      <c r="BG132" s="50"/>
      <c r="BH132" s="54"/>
      <c r="BI132" s="54"/>
      <c r="BJ132" s="50"/>
      <c r="BK132" s="50"/>
    </row>
    <row r="133" customFormat="false" ht="15" hidden="false" customHeight="false" outlineLevel="0" collapsed="false">
      <c r="A133" s="49" t="str">
        <f aca="false">IF(B133="","","PC-"&amp;TEXT(ROW()-2,"000"))</f>
        <v/>
      </c>
      <c r="B133" s="50"/>
      <c r="C133" s="50"/>
      <c r="D133" s="51"/>
      <c r="E133" s="51"/>
      <c r="F133" s="51"/>
      <c r="G133" s="50"/>
      <c r="H133" s="50"/>
      <c r="I133" s="50"/>
      <c r="J133" s="51"/>
      <c r="K133" s="50"/>
      <c r="L133" s="50"/>
      <c r="M133" s="50"/>
      <c r="N133" s="50"/>
      <c r="O133" s="52"/>
      <c r="P133" s="50"/>
      <c r="Q133" s="52"/>
      <c r="R133" s="52"/>
      <c r="S133" s="49" t="str">
        <f aca="false">IF(B133="","",IF(OR(O133="",R133=""),"—",IF(O133&lt;=R133,"⚠ RÉAPPRO","OK")))</f>
        <v/>
      </c>
      <c r="T133" s="50"/>
      <c r="U133" s="50"/>
      <c r="V133" s="50"/>
      <c r="W133" s="50"/>
      <c r="X133" s="50"/>
      <c r="Y133" s="53" t="str">
        <f aca="false">IF(B133="","",IF(X133="","—",IF(X133="Non classé","Non classé",IFERROR(INDEX(RefH_Classe,MATCH(TRIM(LEFT(X133,FIND(",",X133&amp;",")-1)),RefH_Code,0)),"Code H inconnu"))))</f>
        <v/>
      </c>
      <c r="Z133" s="50"/>
      <c r="AA133" s="50"/>
      <c r="AB133" s="51"/>
      <c r="AC133" s="51"/>
      <c r="AD133" s="51"/>
      <c r="AE133" s="51"/>
      <c r="AF133" s="50"/>
      <c r="AG133" s="51"/>
      <c r="AH133" s="54"/>
      <c r="AI133" s="51"/>
      <c r="AJ133" s="55" t="str">
        <f aca="false">IF(AH133="","",EDATE(AH133,60))</f>
        <v/>
      </c>
      <c r="AK133" s="49" t="str">
        <f aca="true">IF(B133="","",IF(OR(AG133="Non",AH133=""),"FDS ABSENTE",IF(TODAY()&gt;=EDATE(AH133,60),"EXPIRÉE",IF(TODAY()&gt;=EDATE(AH133,54),"À RENOUVELER","CONFORME"))))</f>
        <v/>
      </c>
      <c r="AL133" s="50"/>
      <c r="AM133" s="54"/>
      <c r="AN133" s="54"/>
      <c r="AO133" s="50"/>
      <c r="AP133" s="50"/>
      <c r="AQ133" s="50"/>
      <c r="AR133" s="50"/>
      <c r="AS133" s="50"/>
      <c r="AT133" s="50"/>
      <c r="AU133" s="50"/>
      <c r="AV133" s="50"/>
      <c r="AW133" s="52"/>
      <c r="AX133" s="52"/>
      <c r="AY133" s="56" t="str">
        <f aca="false">IF(OR(AW133="",AX133=""),"",AW133*AX133)</f>
        <v/>
      </c>
      <c r="AZ133" s="52"/>
      <c r="BA133" s="56" t="str">
        <f aca="false">IF(AY133="","",IF(AZ133="",AY133,ROUNDUP(AY133/AZ133,0)))</f>
        <v/>
      </c>
      <c r="BB133" s="49" t="str">
        <f aca="false">IF(BA133="","",IF(BA133&gt;=15,"P1 – Critique",IF(BA133&gt;=8,"P2 – Élevée",IF(BA133&gt;=4,"P3 – Modérée","P4 – Faible"))))</f>
        <v/>
      </c>
      <c r="BC133" s="50"/>
      <c r="BD133" s="50"/>
      <c r="BE133" s="54"/>
      <c r="BF133" s="57"/>
      <c r="BG133" s="50"/>
      <c r="BH133" s="54"/>
      <c r="BI133" s="54"/>
      <c r="BJ133" s="50"/>
      <c r="BK133" s="50"/>
    </row>
    <row r="134" customFormat="false" ht="15" hidden="false" customHeight="false" outlineLevel="0" collapsed="false">
      <c r="A134" s="49" t="str">
        <f aca="false">IF(B134="","","PC-"&amp;TEXT(ROW()-2,"000"))</f>
        <v/>
      </c>
      <c r="B134" s="50"/>
      <c r="C134" s="50"/>
      <c r="D134" s="51"/>
      <c r="E134" s="51"/>
      <c r="F134" s="51"/>
      <c r="G134" s="50"/>
      <c r="H134" s="50"/>
      <c r="I134" s="50"/>
      <c r="J134" s="51"/>
      <c r="K134" s="50"/>
      <c r="L134" s="50"/>
      <c r="M134" s="50"/>
      <c r="N134" s="50"/>
      <c r="O134" s="52"/>
      <c r="P134" s="50"/>
      <c r="Q134" s="52"/>
      <c r="R134" s="52"/>
      <c r="S134" s="49" t="str">
        <f aca="false">IF(B134="","",IF(OR(O134="",R134=""),"—",IF(O134&lt;=R134,"⚠ RÉAPPRO","OK")))</f>
        <v/>
      </c>
      <c r="T134" s="50"/>
      <c r="U134" s="50"/>
      <c r="V134" s="50"/>
      <c r="W134" s="50"/>
      <c r="X134" s="50"/>
      <c r="Y134" s="53" t="str">
        <f aca="false">IF(B134="","",IF(X134="","—",IF(X134="Non classé","Non classé",IFERROR(INDEX(RefH_Classe,MATCH(TRIM(LEFT(X134,FIND(",",X134&amp;",")-1)),RefH_Code,0)),"Code H inconnu"))))</f>
        <v/>
      </c>
      <c r="Z134" s="50"/>
      <c r="AA134" s="50"/>
      <c r="AB134" s="51"/>
      <c r="AC134" s="51"/>
      <c r="AD134" s="51"/>
      <c r="AE134" s="51"/>
      <c r="AF134" s="50"/>
      <c r="AG134" s="51"/>
      <c r="AH134" s="54"/>
      <c r="AI134" s="51"/>
      <c r="AJ134" s="55" t="str">
        <f aca="false">IF(AH134="","",EDATE(AH134,60))</f>
        <v/>
      </c>
      <c r="AK134" s="49" t="str">
        <f aca="true">IF(B134="","",IF(OR(AG134="Non",AH134=""),"FDS ABSENTE",IF(TODAY()&gt;=EDATE(AH134,60),"EXPIRÉE",IF(TODAY()&gt;=EDATE(AH134,54),"À RENOUVELER","CONFORME"))))</f>
        <v/>
      </c>
      <c r="AL134" s="50"/>
      <c r="AM134" s="54"/>
      <c r="AN134" s="54"/>
      <c r="AO134" s="50"/>
      <c r="AP134" s="50"/>
      <c r="AQ134" s="50"/>
      <c r="AR134" s="50"/>
      <c r="AS134" s="50"/>
      <c r="AT134" s="50"/>
      <c r="AU134" s="50"/>
      <c r="AV134" s="50"/>
      <c r="AW134" s="52"/>
      <c r="AX134" s="52"/>
      <c r="AY134" s="56" t="str">
        <f aca="false">IF(OR(AW134="",AX134=""),"",AW134*AX134)</f>
        <v/>
      </c>
      <c r="AZ134" s="52"/>
      <c r="BA134" s="56" t="str">
        <f aca="false">IF(AY134="","",IF(AZ134="",AY134,ROUNDUP(AY134/AZ134,0)))</f>
        <v/>
      </c>
      <c r="BB134" s="49" t="str">
        <f aca="false">IF(BA134="","",IF(BA134&gt;=15,"P1 – Critique",IF(BA134&gt;=8,"P2 – Élevée",IF(BA134&gt;=4,"P3 – Modérée","P4 – Faible"))))</f>
        <v/>
      </c>
      <c r="BC134" s="50"/>
      <c r="BD134" s="50"/>
      <c r="BE134" s="54"/>
      <c r="BF134" s="57"/>
      <c r="BG134" s="50"/>
      <c r="BH134" s="54"/>
      <c r="BI134" s="54"/>
      <c r="BJ134" s="50"/>
      <c r="BK134" s="50"/>
    </row>
    <row r="135" customFormat="false" ht="15" hidden="false" customHeight="false" outlineLevel="0" collapsed="false">
      <c r="A135" s="49" t="str">
        <f aca="false">IF(B135="","","PC-"&amp;TEXT(ROW()-2,"000"))</f>
        <v/>
      </c>
      <c r="B135" s="50"/>
      <c r="C135" s="50"/>
      <c r="D135" s="51"/>
      <c r="E135" s="51"/>
      <c r="F135" s="51"/>
      <c r="G135" s="50"/>
      <c r="H135" s="50"/>
      <c r="I135" s="50"/>
      <c r="J135" s="51"/>
      <c r="K135" s="50"/>
      <c r="L135" s="50"/>
      <c r="M135" s="50"/>
      <c r="N135" s="50"/>
      <c r="O135" s="52"/>
      <c r="P135" s="50"/>
      <c r="Q135" s="52"/>
      <c r="R135" s="52"/>
      <c r="S135" s="49" t="str">
        <f aca="false">IF(B135="","",IF(OR(O135="",R135=""),"—",IF(O135&lt;=R135,"⚠ RÉAPPRO","OK")))</f>
        <v/>
      </c>
      <c r="T135" s="50"/>
      <c r="U135" s="50"/>
      <c r="V135" s="50"/>
      <c r="W135" s="50"/>
      <c r="X135" s="50"/>
      <c r="Y135" s="53" t="str">
        <f aca="false">IF(B135="","",IF(X135="","—",IF(X135="Non classé","Non classé",IFERROR(INDEX(RefH_Classe,MATCH(TRIM(LEFT(X135,FIND(",",X135&amp;",")-1)),RefH_Code,0)),"Code H inconnu"))))</f>
        <v/>
      </c>
      <c r="Z135" s="50"/>
      <c r="AA135" s="50"/>
      <c r="AB135" s="51"/>
      <c r="AC135" s="51"/>
      <c r="AD135" s="51"/>
      <c r="AE135" s="51"/>
      <c r="AF135" s="50"/>
      <c r="AG135" s="51"/>
      <c r="AH135" s="54"/>
      <c r="AI135" s="51"/>
      <c r="AJ135" s="55" t="str">
        <f aca="false">IF(AH135="","",EDATE(AH135,60))</f>
        <v/>
      </c>
      <c r="AK135" s="49" t="str">
        <f aca="true">IF(B135="","",IF(OR(AG135="Non",AH135=""),"FDS ABSENTE",IF(TODAY()&gt;=EDATE(AH135,60),"EXPIRÉE",IF(TODAY()&gt;=EDATE(AH135,54),"À RENOUVELER","CONFORME"))))</f>
        <v/>
      </c>
      <c r="AL135" s="50"/>
      <c r="AM135" s="54"/>
      <c r="AN135" s="54"/>
      <c r="AO135" s="50"/>
      <c r="AP135" s="50"/>
      <c r="AQ135" s="50"/>
      <c r="AR135" s="50"/>
      <c r="AS135" s="50"/>
      <c r="AT135" s="50"/>
      <c r="AU135" s="50"/>
      <c r="AV135" s="50"/>
      <c r="AW135" s="52"/>
      <c r="AX135" s="52"/>
      <c r="AY135" s="56" t="str">
        <f aca="false">IF(OR(AW135="",AX135=""),"",AW135*AX135)</f>
        <v/>
      </c>
      <c r="AZ135" s="52"/>
      <c r="BA135" s="56" t="str">
        <f aca="false">IF(AY135="","",IF(AZ135="",AY135,ROUNDUP(AY135/AZ135,0)))</f>
        <v/>
      </c>
      <c r="BB135" s="49" t="str">
        <f aca="false">IF(BA135="","",IF(BA135&gt;=15,"P1 – Critique",IF(BA135&gt;=8,"P2 – Élevée",IF(BA135&gt;=4,"P3 – Modérée","P4 – Faible"))))</f>
        <v/>
      </c>
      <c r="BC135" s="50"/>
      <c r="BD135" s="50"/>
      <c r="BE135" s="54"/>
      <c r="BF135" s="57"/>
      <c r="BG135" s="50"/>
      <c r="BH135" s="54"/>
      <c r="BI135" s="54"/>
      <c r="BJ135" s="50"/>
      <c r="BK135" s="50"/>
    </row>
    <row r="136" customFormat="false" ht="15" hidden="false" customHeight="false" outlineLevel="0" collapsed="false">
      <c r="A136" s="49" t="str">
        <f aca="false">IF(B136="","","PC-"&amp;TEXT(ROW()-2,"000"))</f>
        <v/>
      </c>
      <c r="B136" s="50"/>
      <c r="C136" s="50"/>
      <c r="D136" s="51"/>
      <c r="E136" s="51"/>
      <c r="F136" s="51"/>
      <c r="G136" s="50"/>
      <c r="H136" s="50"/>
      <c r="I136" s="50"/>
      <c r="J136" s="51"/>
      <c r="K136" s="50"/>
      <c r="L136" s="50"/>
      <c r="M136" s="50"/>
      <c r="N136" s="50"/>
      <c r="O136" s="52"/>
      <c r="P136" s="50"/>
      <c r="Q136" s="52"/>
      <c r="R136" s="52"/>
      <c r="S136" s="49" t="str">
        <f aca="false">IF(B136="","",IF(OR(O136="",R136=""),"—",IF(O136&lt;=R136,"⚠ RÉAPPRO","OK")))</f>
        <v/>
      </c>
      <c r="T136" s="50"/>
      <c r="U136" s="50"/>
      <c r="V136" s="50"/>
      <c r="W136" s="50"/>
      <c r="X136" s="50"/>
      <c r="Y136" s="53" t="str">
        <f aca="false">IF(B136="","",IF(X136="","—",IF(X136="Non classé","Non classé",IFERROR(INDEX(RefH_Classe,MATCH(TRIM(LEFT(X136,FIND(",",X136&amp;",")-1)),RefH_Code,0)),"Code H inconnu"))))</f>
        <v/>
      </c>
      <c r="Z136" s="50"/>
      <c r="AA136" s="50"/>
      <c r="AB136" s="51"/>
      <c r="AC136" s="51"/>
      <c r="AD136" s="51"/>
      <c r="AE136" s="51"/>
      <c r="AF136" s="50"/>
      <c r="AG136" s="51"/>
      <c r="AH136" s="54"/>
      <c r="AI136" s="51"/>
      <c r="AJ136" s="55" t="str">
        <f aca="false">IF(AH136="","",EDATE(AH136,60))</f>
        <v/>
      </c>
      <c r="AK136" s="49" t="str">
        <f aca="true">IF(B136="","",IF(OR(AG136="Non",AH136=""),"FDS ABSENTE",IF(TODAY()&gt;=EDATE(AH136,60),"EXPIRÉE",IF(TODAY()&gt;=EDATE(AH136,54),"À RENOUVELER","CONFORME"))))</f>
        <v/>
      </c>
      <c r="AL136" s="50"/>
      <c r="AM136" s="54"/>
      <c r="AN136" s="54"/>
      <c r="AO136" s="50"/>
      <c r="AP136" s="50"/>
      <c r="AQ136" s="50"/>
      <c r="AR136" s="50"/>
      <c r="AS136" s="50"/>
      <c r="AT136" s="50"/>
      <c r="AU136" s="50"/>
      <c r="AV136" s="50"/>
      <c r="AW136" s="52"/>
      <c r="AX136" s="52"/>
      <c r="AY136" s="56" t="str">
        <f aca="false">IF(OR(AW136="",AX136=""),"",AW136*AX136)</f>
        <v/>
      </c>
      <c r="AZ136" s="52"/>
      <c r="BA136" s="56" t="str">
        <f aca="false">IF(AY136="","",IF(AZ136="",AY136,ROUNDUP(AY136/AZ136,0)))</f>
        <v/>
      </c>
      <c r="BB136" s="49" t="str">
        <f aca="false">IF(BA136="","",IF(BA136&gt;=15,"P1 – Critique",IF(BA136&gt;=8,"P2 – Élevée",IF(BA136&gt;=4,"P3 – Modérée","P4 – Faible"))))</f>
        <v/>
      </c>
      <c r="BC136" s="50"/>
      <c r="BD136" s="50"/>
      <c r="BE136" s="54"/>
      <c r="BF136" s="57"/>
      <c r="BG136" s="50"/>
      <c r="BH136" s="54"/>
      <c r="BI136" s="54"/>
      <c r="BJ136" s="50"/>
      <c r="BK136" s="50"/>
    </row>
    <row r="137" customFormat="false" ht="15" hidden="false" customHeight="false" outlineLevel="0" collapsed="false">
      <c r="A137" s="49" t="str">
        <f aca="false">IF(B137="","","PC-"&amp;TEXT(ROW()-2,"000"))</f>
        <v/>
      </c>
      <c r="B137" s="50"/>
      <c r="C137" s="50"/>
      <c r="D137" s="51"/>
      <c r="E137" s="51"/>
      <c r="F137" s="51"/>
      <c r="G137" s="50"/>
      <c r="H137" s="50"/>
      <c r="I137" s="50"/>
      <c r="J137" s="51"/>
      <c r="K137" s="50"/>
      <c r="L137" s="50"/>
      <c r="M137" s="50"/>
      <c r="N137" s="50"/>
      <c r="O137" s="52"/>
      <c r="P137" s="50"/>
      <c r="Q137" s="52"/>
      <c r="R137" s="52"/>
      <c r="S137" s="49" t="str">
        <f aca="false">IF(B137="","",IF(OR(O137="",R137=""),"—",IF(O137&lt;=R137,"⚠ RÉAPPRO","OK")))</f>
        <v/>
      </c>
      <c r="T137" s="50"/>
      <c r="U137" s="50"/>
      <c r="V137" s="50"/>
      <c r="W137" s="50"/>
      <c r="X137" s="50"/>
      <c r="Y137" s="53" t="str">
        <f aca="false">IF(B137="","",IF(X137="","—",IF(X137="Non classé","Non classé",IFERROR(INDEX(RefH_Classe,MATCH(TRIM(LEFT(X137,FIND(",",X137&amp;",")-1)),RefH_Code,0)),"Code H inconnu"))))</f>
        <v/>
      </c>
      <c r="Z137" s="50"/>
      <c r="AA137" s="50"/>
      <c r="AB137" s="51"/>
      <c r="AC137" s="51"/>
      <c r="AD137" s="51"/>
      <c r="AE137" s="51"/>
      <c r="AF137" s="50"/>
      <c r="AG137" s="51"/>
      <c r="AH137" s="54"/>
      <c r="AI137" s="51"/>
      <c r="AJ137" s="55" t="str">
        <f aca="false">IF(AH137="","",EDATE(AH137,60))</f>
        <v/>
      </c>
      <c r="AK137" s="49" t="str">
        <f aca="true">IF(B137="","",IF(OR(AG137="Non",AH137=""),"FDS ABSENTE",IF(TODAY()&gt;=EDATE(AH137,60),"EXPIRÉE",IF(TODAY()&gt;=EDATE(AH137,54),"À RENOUVELER","CONFORME"))))</f>
        <v/>
      </c>
      <c r="AL137" s="50"/>
      <c r="AM137" s="54"/>
      <c r="AN137" s="54"/>
      <c r="AO137" s="50"/>
      <c r="AP137" s="50"/>
      <c r="AQ137" s="50"/>
      <c r="AR137" s="50"/>
      <c r="AS137" s="50"/>
      <c r="AT137" s="50"/>
      <c r="AU137" s="50"/>
      <c r="AV137" s="50"/>
      <c r="AW137" s="52"/>
      <c r="AX137" s="52"/>
      <c r="AY137" s="56" t="str">
        <f aca="false">IF(OR(AW137="",AX137=""),"",AW137*AX137)</f>
        <v/>
      </c>
      <c r="AZ137" s="52"/>
      <c r="BA137" s="56" t="str">
        <f aca="false">IF(AY137="","",IF(AZ137="",AY137,ROUNDUP(AY137/AZ137,0)))</f>
        <v/>
      </c>
      <c r="BB137" s="49" t="str">
        <f aca="false">IF(BA137="","",IF(BA137&gt;=15,"P1 – Critique",IF(BA137&gt;=8,"P2 – Élevée",IF(BA137&gt;=4,"P3 – Modérée","P4 – Faible"))))</f>
        <v/>
      </c>
      <c r="BC137" s="50"/>
      <c r="BD137" s="50"/>
      <c r="BE137" s="54"/>
      <c r="BF137" s="57"/>
      <c r="BG137" s="50"/>
      <c r="BH137" s="54"/>
      <c r="BI137" s="54"/>
      <c r="BJ137" s="50"/>
      <c r="BK137" s="50"/>
    </row>
    <row r="138" customFormat="false" ht="15" hidden="false" customHeight="false" outlineLevel="0" collapsed="false">
      <c r="A138" s="49" t="str">
        <f aca="false">IF(B138="","","PC-"&amp;TEXT(ROW()-2,"000"))</f>
        <v/>
      </c>
      <c r="B138" s="50"/>
      <c r="C138" s="50"/>
      <c r="D138" s="51"/>
      <c r="E138" s="51"/>
      <c r="F138" s="51"/>
      <c r="G138" s="50"/>
      <c r="H138" s="50"/>
      <c r="I138" s="50"/>
      <c r="J138" s="51"/>
      <c r="K138" s="50"/>
      <c r="L138" s="50"/>
      <c r="M138" s="50"/>
      <c r="N138" s="50"/>
      <c r="O138" s="52"/>
      <c r="P138" s="50"/>
      <c r="Q138" s="52"/>
      <c r="R138" s="52"/>
      <c r="S138" s="49" t="str">
        <f aca="false">IF(B138="","",IF(OR(O138="",R138=""),"—",IF(O138&lt;=R138,"⚠ RÉAPPRO","OK")))</f>
        <v/>
      </c>
      <c r="T138" s="50"/>
      <c r="U138" s="50"/>
      <c r="V138" s="50"/>
      <c r="W138" s="50"/>
      <c r="X138" s="50"/>
      <c r="Y138" s="53" t="str">
        <f aca="false">IF(B138="","",IF(X138="","—",IF(X138="Non classé","Non classé",IFERROR(INDEX(RefH_Classe,MATCH(TRIM(LEFT(X138,FIND(",",X138&amp;",")-1)),RefH_Code,0)),"Code H inconnu"))))</f>
        <v/>
      </c>
      <c r="Z138" s="50"/>
      <c r="AA138" s="50"/>
      <c r="AB138" s="51"/>
      <c r="AC138" s="51"/>
      <c r="AD138" s="51"/>
      <c r="AE138" s="51"/>
      <c r="AF138" s="50"/>
      <c r="AG138" s="51"/>
      <c r="AH138" s="54"/>
      <c r="AI138" s="51"/>
      <c r="AJ138" s="55" t="str">
        <f aca="false">IF(AH138="","",EDATE(AH138,60))</f>
        <v/>
      </c>
      <c r="AK138" s="49" t="str">
        <f aca="true">IF(B138="","",IF(OR(AG138="Non",AH138=""),"FDS ABSENTE",IF(TODAY()&gt;=EDATE(AH138,60),"EXPIRÉE",IF(TODAY()&gt;=EDATE(AH138,54),"À RENOUVELER","CONFORME"))))</f>
        <v/>
      </c>
      <c r="AL138" s="50"/>
      <c r="AM138" s="54"/>
      <c r="AN138" s="54"/>
      <c r="AO138" s="50"/>
      <c r="AP138" s="50"/>
      <c r="AQ138" s="50"/>
      <c r="AR138" s="50"/>
      <c r="AS138" s="50"/>
      <c r="AT138" s="50"/>
      <c r="AU138" s="50"/>
      <c r="AV138" s="50"/>
      <c r="AW138" s="52"/>
      <c r="AX138" s="52"/>
      <c r="AY138" s="56" t="str">
        <f aca="false">IF(OR(AW138="",AX138=""),"",AW138*AX138)</f>
        <v/>
      </c>
      <c r="AZ138" s="52"/>
      <c r="BA138" s="56" t="str">
        <f aca="false">IF(AY138="","",IF(AZ138="",AY138,ROUNDUP(AY138/AZ138,0)))</f>
        <v/>
      </c>
      <c r="BB138" s="49" t="str">
        <f aca="false">IF(BA138="","",IF(BA138&gt;=15,"P1 – Critique",IF(BA138&gt;=8,"P2 – Élevée",IF(BA138&gt;=4,"P3 – Modérée","P4 – Faible"))))</f>
        <v/>
      </c>
      <c r="BC138" s="50"/>
      <c r="BD138" s="50"/>
      <c r="BE138" s="54"/>
      <c r="BF138" s="57"/>
      <c r="BG138" s="50"/>
      <c r="BH138" s="54"/>
      <c r="BI138" s="54"/>
      <c r="BJ138" s="50"/>
      <c r="BK138" s="50"/>
    </row>
    <row r="139" customFormat="false" ht="15" hidden="false" customHeight="false" outlineLevel="0" collapsed="false">
      <c r="A139" s="49" t="str">
        <f aca="false">IF(B139="","","PC-"&amp;TEXT(ROW()-2,"000"))</f>
        <v/>
      </c>
      <c r="B139" s="50"/>
      <c r="C139" s="50"/>
      <c r="D139" s="51"/>
      <c r="E139" s="51"/>
      <c r="F139" s="51"/>
      <c r="G139" s="50"/>
      <c r="H139" s="50"/>
      <c r="I139" s="50"/>
      <c r="J139" s="51"/>
      <c r="K139" s="50"/>
      <c r="L139" s="50"/>
      <c r="M139" s="50"/>
      <c r="N139" s="50"/>
      <c r="O139" s="52"/>
      <c r="P139" s="50"/>
      <c r="Q139" s="52"/>
      <c r="R139" s="52"/>
      <c r="S139" s="49" t="str">
        <f aca="false">IF(B139="","",IF(OR(O139="",R139=""),"—",IF(O139&lt;=R139,"⚠ RÉAPPRO","OK")))</f>
        <v/>
      </c>
      <c r="T139" s="50"/>
      <c r="U139" s="50"/>
      <c r="V139" s="50"/>
      <c r="W139" s="50"/>
      <c r="X139" s="50"/>
      <c r="Y139" s="53" t="str">
        <f aca="false">IF(B139="","",IF(X139="","—",IF(X139="Non classé","Non classé",IFERROR(INDEX(RefH_Classe,MATCH(TRIM(LEFT(X139,FIND(",",X139&amp;",")-1)),RefH_Code,0)),"Code H inconnu"))))</f>
        <v/>
      </c>
      <c r="Z139" s="50"/>
      <c r="AA139" s="50"/>
      <c r="AB139" s="51"/>
      <c r="AC139" s="51"/>
      <c r="AD139" s="51"/>
      <c r="AE139" s="51"/>
      <c r="AF139" s="50"/>
      <c r="AG139" s="51"/>
      <c r="AH139" s="54"/>
      <c r="AI139" s="51"/>
      <c r="AJ139" s="55" t="str">
        <f aca="false">IF(AH139="","",EDATE(AH139,60))</f>
        <v/>
      </c>
      <c r="AK139" s="49" t="str">
        <f aca="true">IF(B139="","",IF(OR(AG139="Non",AH139=""),"FDS ABSENTE",IF(TODAY()&gt;=EDATE(AH139,60),"EXPIRÉE",IF(TODAY()&gt;=EDATE(AH139,54),"À RENOUVELER","CONFORME"))))</f>
        <v/>
      </c>
      <c r="AL139" s="50"/>
      <c r="AM139" s="54"/>
      <c r="AN139" s="54"/>
      <c r="AO139" s="50"/>
      <c r="AP139" s="50"/>
      <c r="AQ139" s="50"/>
      <c r="AR139" s="50"/>
      <c r="AS139" s="50"/>
      <c r="AT139" s="50"/>
      <c r="AU139" s="50"/>
      <c r="AV139" s="50"/>
      <c r="AW139" s="52"/>
      <c r="AX139" s="52"/>
      <c r="AY139" s="56" t="str">
        <f aca="false">IF(OR(AW139="",AX139=""),"",AW139*AX139)</f>
        <v/>
      </c>
      <c r="AZ139" s="52"/>
      <c r="BA139" s="56" t="str">
        <f aca="false">IF(AY139="","",IF(AZ139="",AY139,ROUNDUP(AY139/AZ139,0)))</f>
        <v/>
      </c>
      <c r="BB139" s="49" t="str">
        <f aca="false">IF(BA139="","",IF(BA139&gt;=15,"P1 – Critique",IF(BA139&gt;=8,"P2 – Élevée",IF(BA139&gt;=4,"P3 – Modérée","P4 – Faible"))))</f>
        <v/>
      </c>
      <c r="BC139" s="50"/>
      <c r="BD139" s="50"/>
      <c r="BE139" s="54"/>
      <c r="BF139" s="57"/>
      <c r="BG139" s="50"/>
      <c r="BH139" s="54"/>
      <c r="BI139" s="54"/>
      <c r="BJ139" s="50"/>
      <c r="BK139" s="50"/>
    </row>
    <row r="140" customFormat="false" ht="15" hidden="false" customHeight="false" outlineLevel="0" collapsed="false">
      <c r="A140" s="49" t="str">
        <f aca="false">IF(B140="","","PC-"&amp;TEXT(ROW()-2,"000"))</f>
        <v/>
      </c>
      <c r="B140" s="50"/>
      <c r="C140" s="50"/>
      <c r="D140" s="51"/>
      <c r="E140" s="51"/>
      <c r="F140" s="51"/>
      <c r="G140" s="50"/>
      <c r="H140" s="50"/>
      <c r="I140" s="50"/>
      <c r="J140" s="51"/>
      <c r="K140" s="50"/>
      <c r="L140" s="50"/>
      <c r="M140" s="50"/>
      <c r="N140" s="50"/>
      <c r="O140" s="52"/>
      <c r="P140" s="50"/>
      <c r="Q140" s="52"/>
      <c r="R140" s="52"/>
      <c r="S140" s="49" t="str">
        <f aca="false">IF(B140="","",IF(OR(O140="",R140=""),"—",IF(O140&lt;=R140,"⚠ RÉAPPRO","OK")))</f>
        <v/>
      </c>
      <c r="T140" s="50"/>
      <c r="U140" s="50"/>
      <c r="V140" s="50"/>
      <c r="W140" s="50"/>
      <c r="X140" s="50"/>
      <c r="Y140" s="53" t="str">
        <f aca="false">IF(B140="","",IF(X140="","—",IF(X140="Non classé","Non classé",IFERROR(INDEX(RefH_Classe,MATCH(TRIM(LEFT(X140,FIND(",",X140&amp;",")-1)),RefH_Code,0)),"Code H inconnu"))))</f>
        <v/>
      </c>
      <c r="Z140" s="50"/>
      <c r="AA140" s="50"/>
      <c r="AB140" s="51"/>
      <c r="AC140" s="51"/>
      <c r="AD140" s="51"/>
      <c r="AE140" s="51"/>
      <c r="AF140" s="50"/>
      <c r="AG140" s="51"/>
      <c r="AH140" s="54"/>
      <c r="AI140" s="51"/>
      <c r="AJ140" s="55" t="str">
        <f aca="false">IF(AH140="","",EDATE(AH140,60))</f>
        <v/>
      </c>
      <c r="AK140" s="49" t="str">
        <f aca="true">IF(B140="","",IF(OR(AG140="Non",AH140=""),"FDS ABSENTE",IF(TODAY()&gt;=EDATE(AH140,60),"EXPIRÉE",IF(TODAY()&gt;=EDATE(AH140,54),"À RENOUVELER","CONFORME"))))</f>
        <v/>
      </c>
      <c r="AL140" s="50"/>
      <c r="AM140" s="54"/>
      <c r="AN140" s="54"/>
      <c r="AO140" s="50"/>
      <c r="AP140" s="50"/>
      <c r="AQ140" s="50"/>
      <c r="AR140" s="50"/>
      <c r="AS140" s="50"/>
      <c r="AT140" s="50"/>
      <c r="AU140" s="50"/>
      <c r="AV140" s="50"/>
      <c r="AW140" s="52"/>
      <c r="AX140" s="52"/>
      <c r="AY140" s="56" t="str">
        <f aca="false">IF(OR(AW140="",AX140=""),"",AW140*AX140)</f>
        <v/>
      </c>
      <c r="AZ140" s="52"/>
      <c r="BA140" s="56" t="str">
        <f aca="false">IF(AY140="","",IF(AZ140="",AY140,ROUNDUP(AY140/AZ140,0)))</f>
        <v/>
      </c>
      <c r="BB140" s="49" t="str">
        <f aca="false">IF(BA140="","",IF(BA140&gt;=15,"P1 – Critique",IF(BA140&gt;=8,"P2 – Élevée",IF(BA140&gt;=4,"P3 – Modérée","P4 – Faible"))))</f>
        <v/>
      </c>
      <c r="BC140" s="50"/>
      <c r="BD140" s="50"/>
      <c r="BE140" s="54"/>
      <c r="BF140" s="57"/>
      <c r="BG140" s="50"/>
      <c r="BH140" s="54"/>
      <c r="BI140" s="54"/>
      <c r="BJ140" s="50"/>
      <c r="BK140" s="50"/>
    </row>
    <row r="141" customFormat="false" ht="15" hidden="false" customHeight="false" outlineLevel="0" collapsed="false">
      <c r="A141" s="49" t="str">
        <f aca="false">IF(B141="","","PC-"&amp;TEXT(ROW()-2,"000"))</f>
        <v/>
      </c>
      <c r="B141" s="50"/>
      <c r="C141" s="50"/>
      <c r="D141" s="51"/>
      <c r="E141" s="51"/>
      <c r="F141" s="51"/>
      <c r="G141" s="50"/>
      <c r="H141" s="50"/>
      <c r="I141" s="50"/>
      <c r="J141" s="51"/>
      <c r="K141" s="50"/>
      <c r="L141" s="50"/>
      <c r="M141" s="50"/>
      <c r="N141" s="50"/>
      <c r="O141" s="52"/>
      <c r="P141" s="50"/>
      <c r="Q141" s="52"/>
      <c r="R141" s="52"/>
      <c r="S141" s="49" t="str">
        <f aca="false">IF(B141="","",IF(OR(O141="",R141=""),"—",IF(O141&lt;=R141,"⚠ RÉAPPRO","OK")))</f>
        <v/>
      </c>
      <c r="T141" s="50"/>
      <c r="U141" s="50"/>
      <c r="V141" s="50"/>
      <c r="W141" s="50"/>
      <c r="X141" s="50"/>
      <c r="Y141" s="53" t="str">
        <f aca="false">IF(B141="","",IF(X141="","—",IF(X141="Non classé","Non classé",IFERROR(INDEX(RefH_Classe,MATCH(TRIM(LEFT(X141,FIND(",",X141&amp;",")-1)),RefH_Code,0)),"Code H inconnu"))))</f>
        <v/>
      </c>
      <c r="Z141" s="50"/>
      <c r="AA141" s="50"/>
      <c r="AB141" s="51"/>
      <c r="AC141" s="51"/>
      <c r="AD141" s="51"/>
      <c r="AE141" s="51"/>
      <c r="AF141" s="50"/>
      <c r="AG141" s="51"/>
      <c r="AH141" s="54"/>
      <c r="AI141" s="51"/>
      <c r="AJ141" s="55" t="str">
        <f aca="false">IF(AH141="","",EDATE(AH141,60))</f>
        <v/>
      </c>
      <c r="AK141" s="49" t="str">
        <f aca="true">IF(B141="","",IF(OR(AG141="Non",AH141=""),"FDS ABSENTE",IF(TODAY()&gt;=EDATE(AH141,60),"EXPIRÉE",IF(TODAY()&gt;=EDATE(AH141,54),"À RENOUVELER","CONFORME"))))</f>
        <v/>
      </c>
      <c r="AL141" s="50"/>
      <c r="AM141" s="54"/>
      <c r="AN141" s="54"/>
      <c r="AO141" s="50"/>
      <c r="AP141" s="50"/>
      <c r="AQ141" s="50"/>
      <c r="AR141" s="50"/>
      <c r="AS141" s="50"/>
      <c r="AT141" s="50"/>
      <c r="AU141" s="50"/>
      <c r="AV141" s="50"/>
      <c r="AW141" s="52"/>
      <c r="AX141" s="52"/>
      <c r="AY141" s="56" t="str">
        <f aca="false">IF(OR(AW141="",AX141=""),"",AW141*AX141)</f>
        <v/>
      </c>
      <c r="AZ141" s="52"/>
      <c r="BA141" s="56" t="str">
        <f aca="false">IF(AY141="","",IF(AZ141="",AY141,ROUNDUP(AY141/AZ141,0)))</f>
        <v/>
      </c>
      <c r="BB141" s="49" t="str">
        <f aca="false">IF(BA141="","",IF(BA141&gt;=15,"P1 – Critique",IF(BA141&gt;=8,"P2 – Élevée",IF(BA141&gt;=4,"P3 – Modérée","P4 – Faible"))))</f>
        <v/>
      </c>
      <c r="BC141" s="50"/>
      <c r="BD141" s="50"/>
      <c r="BE141" s="54"/>
      <c r="BF141" s="57"/>
      <c r="BG141" s="50"/>
      <c r="BH141" s="54"/>
      <c r="BI141" s="54"/>
      <c r="BJ141" s="50"/>
      <c r="BK141" s="50"/>
    </row>
    <row r="142" customFormat="false" ht="15" hidden="false" customHeight="false" outlineLevel="0" collapsed="false">
      <c r="A142" s="49" t="str">
        <f aca="false">IF(B142="","","PC-"&amp;TEXT(ROW()-2,"000"))</f>
        <v/>
      </c>
      <c r="B142" s="50"/>
      <c r="C142" s="50"/>
      <c r="D142" s="51"/>
      <c r="E142" s="51"/>
      <c r="F142" s="51"/>
      <c r="G142" s="50"/>
      <c r="H142" s="50"/>
      <c r="I142" s="50"/>
      <c r="J142" s="51"/>
      <c r="K142" s="50"/>
      <c r="L142" s="50"/>
      <c r="M142" s="50"/>
      <c r="N142" s="50"/>
      <c r="O142" s="52"/>
      <c r="P142" s="50"/>
      <c r="Q142" s="52"/>
      <c r="R142" s="52"/>
      <c r="S142" s="49" t="str">
        <f aca="false">IF(B142="","",IF(OR(O142="",R142=""),"—",IF(O142&lt;=R142,"⚠ RÉAPPRO","OK")))</f>
        <v/>
      </c>
      <c r="T142" s="50"/>
      <c r="U142" s="50"/>
      <c r="V142" s="50"/>
      <c r="W142" s="50"/>
      <c r="X142" s="50"/>
      <c r="Y142" s="53" t="str">
        <f aca="false">IF(B142="","",IF(X142="","—",IF(X142="Non classé","Non classé",IFERROR(INDEX(RefH_Classe,MATCH(TRIM(LEFT(X142,FIND(",",X142&amp;",")-1)),RefH_Code,0)),"Code H inconnu"))))</f>
        <v/>
      </c>
      <c r="Z142" s="50"/>
      <c r="AA142" s="50"/>
      <c r="AB142" s="51"/>
      <c r="AC142" s="51"/>
      <c r="AD142" s="51"/>
      <c r="AE142" s="51"/>
      <c r="AF142" s="50"/>
      <c r="AG142" s="51"/>
      <c r="AH142" s="54"/>
      <c r="AI142" s="51"/>
      <c r="AJ142" s="55" t="str">
        <f aca="false">IF(AH142="","",EDATE(AH142,60))</f>
        <v/>
      </c>
      <c r="AK142" s="49" t="str">
        <f aca="true">IF(B142="","",IF(OR(AG142="Non",AH142=""),"FDS ABSENTE",IF(TODAY()&gt;=EDATE(AH142,60),"EXPIRÉE",IF(TODAY()&gt;=EDATE(AH142,54),"À RENOUVELER","CONFORME"))))</f>
        <v/>
      </c>
      <c r="AL142" s="50"/>
      <c r="AM142" s="54"/>
      <c r="AN142" s="54"/>
      <c r="AO142" s="50"/>
      <c r="AP142" s="50"/>
      <c r="AQ142" s="50"/>
      <c r="AR142" s="50"/>
      <c r="AS142" s="50"/>
      <c r="AT142" s="50"/>
      <c r="AU142" s="50"/>
      <c r="AV142" s="50"/>
      <c r="AW142" s="52"/>
      <c r="AX142" s="52"/>
      <c r="AY142" s="56" t="str">
        <f aca="false">IF(OR(AW142="",AX142=""),"",AW142*AX142)</f>
        <v/>
      </c>
      <c r="AZ142" s="52"/>
      <c r="BA142" s="56" t="str">
        <f aca="false">IF(AY142="","",IF(AZ142="",AY142,ROUNDUP(AY142/AZ142,0)))</f>
        <v/>
      </c>
      <c r="BB142" s="49" t="str">
        <f aca="false">IF(BA142="","",IF(BA142&gt;=15,"P1 – Critique",IF(BA142&gt;=8,"P2 – Élevée",IF(BA142&gt;=4,"P3 – Modérée","P4 – Faible"))))</f>
        <v/>
      </c>
      <c r="BC142" s="50"/>
      <c r="BD142" s="50"/>
      <c r="BE142" s="54"/>
      <c r="BF142" s="57"/>
      <c r="BG142" s="50"/>
      <c r="BH142" s="54"/>
      <c r="BI142" s="54"/>
      <c r="BJ142" s="50"/>
      <c r="BK142" s="50"/>
    </row>
    <row r="143" customFormat="false" ht="15" hidden="false" customHeight="false" outlineLevel="0" collapsed="false">
      <c r="A143" s="49" t="str">
        <f aca="false">IF(B143="","","PC-"&amp;TEXT(ROW()-2,"000"))</f>
        <v/>
      </c>
      <c r="B143" s="50"/>
      <c r="C143" s="50"/>
      <c r="D143" s="51"/>
      <c r="E143" s="51"/>
      <c r="F143" s="51"/>
      <c r="G143" s="50"/>
      <c r="H143" s="50"/>
      <c r="I143" s="50"/>
      <c r="J143" s="51"/>
      <c r="K143" s="50"/>
      <c r="L143" s="50"/>
      <c r="M143" s="50"/>
      <c r="N143" s="50"/>
      <c r="O143" s="52"/>
      <c r="P143" s="50"/>
      <c r="Q143" s="52"/>
      <c r="R143" s="52"/>
      <c r="S143" s="49" t="str">
        <f aca="false">IF(B143="","",IF(OR(O143="",R143=""),"—",IF(O143&lt;=R143,"⚠ RÉAPPRO","OK")))</f>
        <v/>
      </c>
      <c r="T143" s="50"/>
      <c r="U143" s="50"/>
      <c r="V143" s="50"/>
      <c r="W143" s="50"/>
      <c r="X143" s="50"/>
      <c r="Y143" s="53" t="str">
        <f aca="false">IF(B143="","",IF(X143="","—",IF(X143="Non classé","Non classé",IFERROR(INDEX(RefH_Classe,MATCH(TRIM(LEFT(X143,FIND(",",X143&amp;",")-1)),RefH_Code,0)),"Code H inconnu"))))</f>
        <v/>
      </c>
      <c r="Z143" s="50"/>
      <c r="AA143" s="50"/>
      <c r="AB143" s="51"/>
      <c r="AC143" s="51"/>
      <c r="AD143" s="51"/>
      <c r="AE143" s="51"/>
      <c r="AF143" s="50"/>
      <c r="AG143" s="51"/>
      <c r="AH143" s="54"/>
      <c r="AI143" s="51"/>
      <c r="AJ143" s="55" t="str">
        <f aca="false">IF(AH143="","",EDATE(AH143,60))</f>
        <v/>
      </c>
      <c r="AK143" s="49" t="str">
        <f aca="true">IF(B143="","",IF(OR(AG143="Non",AH143=""),"FDS ABSENTE",IF(TODAY()&gt;=EDATE(AH143,60),"EXPIRÉE",IF(TODAY()&gt;=EDATE(AH143,54),"À RENOUVELER","CONFORME"))))</f>
        <v/>
      </c>
      <c r="AL143" s="50"/>
      <c r="AM143" s="54"/>
      <c r="AN143" s="54"/>
      <c r="AO143" s="50"/>
      <c r="AP143" s="50"/>
      <c r="AQ143" s="50"/>
      <c r="AR143" s="50"/>
      <c r="AS143" s="50"/>
      <c r="AT143" s="50"/>
      <c r="AU143" s="50"/>
      <c r="AV143" s="50"/>
      <c r="AW143" s="52"/>
      <c r="AX143" s="52"/>
      <c r="AY143" s="56" t="str">
        <f aca="false">IF(OR(AW143="",AX143=""),"",AW143*AX143)</f>
        <v/>
      </c>
      <c r="AZ143" s="52"/>
      <c r="BA143" s="56" t="str">
        <f aca="false">IF(AY143="","",IF(AZ143="",AY143,ROUNDUP(AY143/AZ143,0)))</f>
        <v/>
      </c>
      <c r="BB143" s="49" t="str">
        <f aca="false">IF(BA143="","",IF(BA143&gt;=15,"P1 – Critique",IF(BA143&gt;=8,"P2 – Élevée",IF(BA143&gt;=4,"P3 – Modérée","P4 – Faible"))))</f>
        <v/>
      </c>
      <c r="BC143" s="50"/>
      <c r="BD143" s="50"/>
      <c r="BE143" s="54"/>
      <c r="BF143" s="57"/>
      <c r="BG143" s="50"/>
      <c r="BH143" s="54"/>
      <c r="BI143" s="54"/>
      <c r="BJ143" s="50"/>
      <c r="BK143" s="50"/>
    </row>
    <row r="144" customFormat="false" ht="15" hidden="false" customHeight="false" outlineLevel="0" collapsed="false">
      <c r="A144" s="49" t="str">
        <f aca="false">IF(B144="","","PC-"&amp;TEXT(ROW()-2,"000"))</f>
        <v/>
      </c>
      <c r="B144" s="50"/>
      <c r="C144" s="50"/>
      <c r="D144" s="51"/>
      <c r="E144" s="51"/>
      <c r="F144" s="51"/>
      <c r="G144" s="50"/>
      <c r="H144" s="50"/>
      <c r="I144" s="50"/>
      <c r="J144" s="51"/>
      <c r="K144" s="50"/>
      <c r="L144" s="50"/>
      <c r="M144" s="50"/>
      <c r="N144" s="50"/>
      <c r="O144" s="52"/>
      <c r="P144" s="50"/>
      <c r="Q144" s="52"/>
      <c r="R144" s="52"/>
      <c r="S144" s="49" t="str">
        <f aca="false">IF(B144="","",IF(OR(O144="",R144=""),"—",IF(O144&lt;=R144,"⚠ RÉAPPRO","OK")))</f>
        <v/>
      </c>
      <c r="T144" s="50"/>
      <c r="U144" s="50"/>
      <c r="V144" s="50"/>
      <c r="W144" s="50"/>
      <c r="X144" s="50"/>
      <c r="Y144" s="53" t="str">
        <f aca="false">IF(B144="","",IF(X144="","—",IF(X144="Non classé","Non classé",IFERROR(INDEX(RefH_Classe,MATCH(TRIM(LEFT(X144,FIND(",",X144&amp;",")-1)),RefH_Code,0)),"Code H inconnu"))))</f>
        <v/>
      </c>
      <c r="Z144" s="50"/>
      <c r="AA144" s="50"/>
      <c r="AB144" s="51"/>
      <c r="AC144" s="51"/>
      <c r="AD144" s="51"/>
      <c r="AE144" s="51"/>
      <c r="AF144" s="50"/>
      <c r="AG144" s="51"/>
      <c r="AH144" s="54"/>
      <c r="AI144" s="51"/>
      <c r="AJ144" s="55" t="str">
        <f aca="false">IF(AH144="","",EDATE(AH144,60))</f>
        <v/>
      </c>
      <c r="AK144" s="49" t="str">
        <f aca="true">IF(B144="","",IF(OR(AG144="Non",AH144=""),"FDS ABSENTE",IF(TODAY()&gt;=EDATE(AH144,60),"EXPIRÉE",IF(TODAY()&gt;=EDATE(AH144,54),"À RENOUVELER","CONFORME"))))</f>
        <v/>
      </c>
      <c r="AL144" s="50"/>
      <c r="AM144" s="54"/>
      <c r="AN144" s="54"/>
      <c r="AO144" s="50"/>
      <c r="AP144" s="50"/>
      <c r="AQ144" s="50"/>
      <c r="AR144" s="50"/>
      <c r="AS144" s="50"/>
      <c r="AT144" s="50"/>
      <c r="AU144" s="50"/>
      <c r="AV144" s="50"/>
      <c r="AW144" s="52"/>
      <c r="AX144" s="52"/>
      <c r="AY144" s="56" t="str">
        <f aca="false">IF(OR(AW144="",AX144=""),"",AW144*AX144)</f>
        <v/>
      </c>
      <c r="AZ144" s="52"/>
      <c r="BA144" s="56" t="str">
        <f aca="false">IF(AY144="","",IF(AZ144="",AY144,ROUNDUP(AY144/AZ144,0)))</f>
        <v/>
      </c>
      <c r="BB144" s="49" t="str">
        <f aca="false">IF(BA144="","",IF(BA144&gt;=15,"P1 – Critique",IF(BA144&gt;=8,"P2 – Élevée",IF(BA144&gt;=4,"P3 – Modérée","P4 – Faible"))))</f>
        <v/>
      </c>
      <c r="BC144" s="50"/>
      <c r="BD144" s="50"/>
      <c r="BE144" s="54"/>
      <c r="BF144" s="57"/>
      <c r="BG144" s="50"/>
      <c r="BH144" s="54"/>
      <c r="BI144" s="54"/>
      <c r="BJ144" s="50"/>
      <c r="BK144" s="50"/>
    </row>
    <row r="145" customFormat="false" ht="15" hidden="false" customHeight="false" outlineLevel="0" collapsed="false">
      <c r="A145" s="49" t="str">
        <f aca="false">IF(B145="","","PC-"&amp;TEXT(ROW()-2,"000"))</f>
        <v/>
      </c>
      <c r="B145" s="50"/>
      <c r="C145" s="50"/>
      <c r="D145" s="51"/>
      <c r="E145" s="51"/>
      <c r="F145" s="51"/>
      <c r="G145" s="50"/>
      <c r="H145" s="50"/>
      <c r="I145" s="50"/>
      <c r="J145" s="51"/>
      <c r="K145" s="50"/>
      <c r="L145" s="50"/>
      <c r="M145" s="50"/>
      <c r="N145" s="50"/>
      <c r="O145" s="52"/>
      <c r="P145" s="50"/>
      <c r="Q145" s="52"/>
      <c r="R145" s="52"/>
      <c r="S145" s="49" t="str">
        <f aca="false">IF(B145="","",IF(OR(O145="",R145=""),"—",IF(O145&lt;=R145,"⚠ RÉAPPRO","OK")))</f>
        <v/>
      </c>
      <c r="T145" s="50"/>
      <c r="U145" s="50"/>
      <c r="V145" s="50"/>
      <c r="W145" s="50"/>
      <c r="X145" s="50"/>
      <c r="Y145" s="53" t="str">
        <f aca="false">IF(B145="","",IF(X145="","—",IF(X145="Non classé","Non classé",IFERROR(INDEX(RefH_Classe,MATCH(TRIM(LEFT(X145,FIND(",",X145&amp;",")-1)),RefH_Code,0)),"Code H inconnu"))))</f>
        <v/>
      </c>
      <c r="Z145" s="50"/>
      <c r="AA145" s="50"/>
      <c r="AB145" s="51"/>
      <c r="AC145" s="51"/>
      <c r="AD145" s="51"/>
      <c r="AE145" s="51"/>
      <c r="AF145" s="50"/>
      <c r="AG145" s="51"/>
      <c r="AH145" s="54"/>
      <c r="AI145" s="51"/>
      <c r="AJ145" s="55" t="str">
        <f aca="false">IF(AH145="","",EDATE(AH145,60))</f>
        <v/>
      </c>
      <c r="AK145" s="49" t="str">
        <f aca="true">IF(B145="","",IF(OR(AG145="Non",AH145=""),"FDS ABSENTE",IF(TODAY()&gt;=EDATE(AH145,60),"EXPIRÉE",IF(TODAY()&gt;=EDATE(AH145,54),"À RENOUVELER","CONFORME"))))</f>
        <v/>
      </c>
      <c r="AL145" s="50"/>
      <c r="AM145" s="54"/>
      <c r="AN145" s="54"/>
      <c r="AO145" s="50"/>
      <c r="AP145" s="50"/>
      <c r="AQ145" s="50"/>
      <c r="AR145" s="50"/>
      <c r="AS145" s="50"/>
      <c r="AT145" s="50"/>
      <c r="AU145" s="50"/>
      <c r="AV145" s="50"/>
      <c r="AW145" s="52"/>
      <c r="AX145" s="52"/>
      <c r="AY145" s="56" t="str">
        <f aca="false">IF(OR(AW145="",AX145=""),"",AW145*AX145)</f>
        <v/>
      </c>
      <c r="AZ145" s="52"/>
      <c r="BA145" s="56" t="str">
        <f aca="false">IF(AY145="","",IF(AZ145="",AY145,ROUNDUP(AY145/AZ145,0)))</f>
        <v/>
      </c>
      <c r="BB145" s="49" t="str">
        <f aca="false">IF(BA145="","",IF(BA145&gt;=15,"P1 – Critique",IF(BA145&gt;=8,"P2 – Élevée",IF(BA145&gt;=4,"P3 – Modérée","P4 – Faible"))))</f>
        <v/>
      </c>
      <c r="BC145" s="50"/>
      <c r="BD145" s="50"/>
      <c r="BE145" s="54"/>
      <c r="BF145" s="57"/>
      <c r="BG145" s="50"/>
      <c r="BH145" s="54"/>
      <c r="BI145" s="54"/>
      <c r="BJ145" s="50"/>
      <c r="BK145" s="50"/>
    </row>
    <row r="146" customFormat="false" ht="15" hidden="false" customHeight="false" outlineLevel="0" collapsed="false">
      <c r="A146" s="49" t="str">
        <f aca="false">IF(B146="","","PC-"&amp;TEXT(ROW()-2,"000"))</f>
        <v/>
      </c>
      <c r="B146" s="50"/>
      <c r="C146" s="50"/>
      <c r="D146" s="51"/>
      <c r="E146" s="51"/>
      <c r="F146" s="51"/>
      <c r="G146" s="50"/>
      <c r="H146" s="50"/>
      <c r="I146" s="50"/>
      <c r="J146" s="51"/>
      <c r="K146" s="50"/>
      <c r="L146" s="50"/>
      <c r="M146" s="50"/>
      <c r="N146" s="50"/>
      <c r="O146" s="52"/>
      <c r="P146" s="50"/>
      <c r="Q146" s="52"/>
      <c r="R146" s="52"/>
      <c r="S146" s="49" t="str">
        <f aca="false">IF(B146="","",IF(OR(O146="",R146=""),"—",IF(O146&lt;=R146,"⚠ RÉAPPRO","OK")))</f>
        <v/>
      </c>
      <c r="T146" s="50"/>
      <c r="U146" s="50"/>
      <c r="V146" s="50"/>
      <c r="W146" s="50"/>
      <c r="X146" s="50"/>
      <c r="Y146" s="53" t="str">
        <f aca="false">IF(B146="","",IF(X146="","—",IF(X146="Non classé","Non classé",IFERROR(INDEX(RefH_Classe,MATCH(TRIM(LEFT(X146,FIND(",",X146&amp;",")-1)),RefH_Code,0)),"Code H inconnu"))))</f>
        <v/>
      </c>
      <c r="Z146" s="50"/>
      <c r="AA146" s="50"/>
      <c r="AB146" s="51"/>
      <c r="AC146" s="51"/>
      <c r="AD146" s="51"/>
      <c r="AE146" s="51"/>
      <c r="AF146" s="50"/>
      <c r="AG146" s="51"/>
      <c r="AH146" s="54"/>
      <c r="AI146" s="51"/>
      <c r="AJ146" s="55" t="str">
        <f aca="false">IF(AH146="","",EDATE(AH146,60))</f>
        <v/>
      </c>
      <c r="AK146" s="49" t="str">
        <f aca="true">IF(B146="","",IF(OR(AG146="Non",AH146=""),"FDS ABSENTE",IF(TODAY()&gt;=EDATE(AH146,60),"EXPIRÉE",IF(TODAY()&gt;=EDATE(AH146,54),"À RENOUVELER","CONFORME"))))</f>
        <v/>
      </c>
      <c r="AL146" s="50"/>
      <c r="AM146" s="54"/>
      <c r="AN146" s="54"/>
      <c r="AO146" s="50"/>
      <c r="AP146" s="50"/>
      <c r="AQ146" s="50"/>
      <c r="AR146" s="50"/>
      <c r="AS146" s="50"/>
      <c r="AT146" s="50"/>
      <c r="AU146" s="50"/>
      <c r="AV146" s="50"/>
      <c r="AW146" s="52"/>
      <c r="AX146" s="52"/>
      <c r="AY146" s="56" t="str">
        <f aca="false">IF(OR(AW146="",AX146=""),"",AW146*AX146)</f>
        <v/>
      </c>
      <c r="AZ146" s="52"/>
      <c r="BA146" s="56" t="str">
        <f aca="false">IF(AY146="","",IF(AZ146="",AY146,ROUNDUP(AY146/AZ146,0)))</f>
        <v/>
      </c>
      <c r="BB146" s="49" t="str">
        <f aca="false">IF(BA146="","",IF(BA146&gt;=15,"P1 – Critique",IF(BA146&gt;=8,"P2 – Élevée",IF(BA146&gt;=4,"P3 – Modérée","P4 – Faible"))))</f>
        <v/>
      </c>
      <c r="BC146" s="50"/>
      <c r="BD146" s="50"/>
      <c r="BE146" s="54"/>
      <c r="BF146" s="57"/>
      <c r="BG146" s="50"/>
      <c r="BH146" s="54"/>
      <c r="BI146" s="54"/>
      <c r="BJ146" s="50"/>
      <c r="BK146" s="50"/>
    </row>
    <row r="147" customFormat="false" ht="15" hidden="false" customHeight="false" outlineLevel="0" collapsed="false">
      <c r="A147" s="49" t="str">
        <f aca="false">IF(B147="","","PC-"&amp;TEXT(ROW()-2,"000"))</f>
        <v/>
      </c>
      <c r="B147" s="50"/>
      <c r="C147" s="50"/>
      <c r="D147" s="51"/>
      <c r="E147" s="51"/>
      <c r="F147" s="51"/>
      <c r="G147" s="50"/>
      <c r="H147" s="50"/>
      <c r="I147" s="50"/>
      <c r="J147" s="51"/>
      <c r="K147" s="50"/>
      <c r="L147" s="50"/>
      <c r="M147" s="50"/>
      <c r="N147" s="50"/>
      <c r="O147" s="52"/>
      <c r="P147" s="50"/>
      <c r="Q147" s="52"/>
      <c r="R147" s="52"/>
      <c r="S147" s="49" t="str">
        <f aca="false">IF(B147="","",IF(OR(O147="",R147=""),"—",IF(O147&lt;=R147,"⚠ RÉAPPRO","OK")))</f>
        <v/>
      </c>
      <c r="T147" s="50"/>
      <c r="U147" s="50"/>
      <c r="V147" s="50"/>
      <c r="W147" s="50"/>
      <c r="X147" s="50"/>
      <c r="Y147" s="53" t="str">
        <f aca="false">IF(B147="","",IF(X147="","—",IF(X147="Non classé","Non classé",IFERROR(INDEX(RefH_Classe,MATCH(TRIM(LEFT(X147,FIND(",",X147&amp;",")-1)),RefH_Code,0)),"Code H inconnu"))))</f>
        <v/>
      </c>
      <c r="Z147" s="50"/>
      <c r="AA147" s="50"/>
      <c r="AB147" s="51"/>
      <c r="AC147" s="51"/>
      <c r="AD147" s="51"/>
      <c r="AE147" s="51"/>
      <c r="AF147" s="50"/>
      <c r="AG147" s="51"/>
      <c r="AH147" s="54"/>
      <c r="AI147" s="51"/>
      <c r="AJ147" s="55" t="str">
        <f aca="false">IF(AH147="","",EDATE(AH147,60))</f>
        <v/>
      </c>
      <c r="AK147" s="49" t="str">
        <f aca="true">IF(B147="","",IF(OR(AG147="Non",AH147=""),"FDS ABSENTE",IF(TODAY()&gt;=EDATE(AH147,60),"EXPIRÉE",IF(TODAY()&gt;=EDATE(AH147,54),"À RENOUVELER","CONFORME"))))</f>
        <v/>
      </c>
      <c r="AL147" s="50"/>
      <c r="AM147" s="54"/>
      <c r="AN147" s="54"/>
      <c r="AO147" s="50"/>
      <c r="AP147" s="50"/>
      <c r="AQ147" s="50"/>
      <c r="AR147" s="50"/>
      <c r="AS147" s="50"/>
      <c r="AT147" s="50"/>
      <c r="AU147" s="50"/>
      <c r="AV147" s="50"/>
      <c r="AW147" s="52"/>
      <c r="AX147" s="52"/>
      <c r="AY147" s="56" t="str">
        <f aca="false">IF(OR(AW147="",AX147=""),"",AW147*AX147)</f>
        <v/>
      </c>
      <c r="AZ147" s="52"/>
      <c r="BA147" s="56" t="str">
        <f aca="false">IF(AY147="","",IF(AZ147="",AY147,ROUNDUP(AY147/AZ147,0)))</f>
        <v/>
      </c>
      <c r="BB147" s="49" t="str">
        <f aca="false">IF(BA147="","",IF(BA147&gt;=15,"P1 – Critique",IF(BA147&gt;=8,"P2 – Élevée",IF(BA147&gt;=4,"P3 – Modérée","P4 – Faible"))))</f>
        <v/>
      </c>
      <c r="BC147" s="50"/>
      <c r="BD147" s="50"/>
      <c r="BE147" s="54"/>
      <c r="BF147" s="57"/>
      <c r="BG147" s="50"/>
      <c r="BH147" s="54"/>
      <c r="BI147" s="54"/>
      <c r="BJ147" s="50"/>
      <c r="BK147" s="50"/>
    </row>
    <row r="148" customFormat="false" ht="15" hidden="false" customHeight="false" outlineLevel="0" collapsed="false">
      <c r="A148" s="49" t="str">
        <f aca="false">IF(B148="","","PC-"&amp;TEXT(ROW()-2,"000"))</f>
        <v/>
      </c>
      <c r="B148" s="50"/>
      <c r="C148" s="50"/>
      <c r="D148" s="51"/>
      <c r="E148" s="51"/>
      <c r="F148" s="51"/>
      <c r="G148" s="50"/>
      <c r="H148" s="50"/>
      <c r="I148" s="50"/>
      <c r="J148" s="51"/>
      <c r="K148" s="50"/>
      <c r="L148" s="50"/>
      <c r="M148" s="50"/>
      <c r="N148" s="50"/>
      <c r="O148" s="52"/>
      <c r="P148" s="50"/>
      <c r="Q148" s="52"/>
      <c r="R148" s="52"/>
      <c r="S148" s="49" t="str">
        <f aca="false">IF(B148="","",IF(OR(O148="",R148=""),"—",IF(O148&lt;=R148,"⚠ RÉAPPRO","OK")))</f>
        <v/>
      </c>
      <c r="T148" s="50"/>
      <c r="U148" s="50"/>
      <c r="V148" s="50"/>
      <c r="W148" s="50"/>
      <c r="X148" s="50"/>
      <c r="Y148" s="53" t="str">
        <f aca="false">IF(B148="","",IF(X148="","—",IF(X148="Non classé","Non classé",IFERROR(INDEX(RefH_Classe,MATCH(TRIM(LEFT(X148,FIND(",",X148&amp;",")-1)),RefH_Code,0)),"Code H inconnu"))))</f>
        <v/>
      </c>
      <c r="Z148" s="50"/>
      <c r="AA148" s="50"/>
      <c r="AB148" s="51"/>
      <c r="AC148" s="51"/>
      <c r="AD148" s="51"/>
      <c r="AE148" s="51"/>
      <c r="AF148" s="50"/>
      <c r="AG148" s="51"/>
      <c r="AH148" s="54"/>
      <c r="AI148" s="51"/>
      <c r="AJ148" s="55" t="str">
        <f aca="false">IF(AH148="","",EDATE(AH148,60))</f>
        <v/>
      </c>
      <c r="AK148" s="49" t="str">
        <f aca="true">IF(B148="","",IF(OR(AG148="Non",AH148=""),"FDS ABSENTE",IF(TODAY()&gt;=EDATE(AH148,60),"EXPIRÉE",IF(TODAY()&gt;=EDATE(AH148,54),"À RENOUVELER","CONFORME"))))</f>
        <v/>
      </c>
      <c r="AL148" s="50"/>
      <c r="AM148" s="54"/>
      <c r="AN148" s="54"/>
      <c r="AO148" s="50"/>
      <c r="AP148" s="50"/>
      <c r="AQ148" s="50"/>
      <c r="AR148" s="50"/>
      <c r="AS148" s="50"/>
      <c r="AT148" s="50"/>
      <c r="AU148" s="50"/>
      <c r="AV148" s="50"/>
      <c r="AW148" s="52"/>
      <c r="AX148" s="52"/>
      <c r="AY148" s="56" t="str">
        <f aca="false">IF(OR(AW148="",AX148=""),"",AW148*AX148)</f>
        <v/>
      </c>
      <c r="AZ148" s="52"/>
      <c r="BA148" s="56" t="str">
        <f aca="false">IF(AY148="","",IF(AZ148="",AY148,ROUNDUP(AY148/AZ148,0)))</f>
        <v/>
      </c>
      <c r="BB148" s="49" t="str">
        <f aca="false">IF(BA148="","",IF(BA148&gt;=15,"P1 – Critique",IF(BA148&gt;=8,"P2 – Élevée",IF(BA148&gt;=4,"P3 – Modérée","P4 – Faible"))))</f>
        <v/>
      </c>
      <c r="BC148" s="50"/>
      <c r="BD148" s="50"/>
      <c r="BE148" s="54"/>
      <c r="BF148" s="57"/>
      <c r="BG148" s="50"/>
      <c r="BH148" s="54"/>
      <c r="BI148" s="54"/>
      <c r="BJ148" s="50"/>
      <c r="BK148" s="50"/>
    </row>
    <row r="149" customFormat="false" ht="15" hidden="false" customHeight="false" outlineLevel="0" collapsed="false">
      <c r="A149" s="49" t="str">
        <f aca="false">IF(B149="","","PC-"&amp;TEXT(ROW()-2,"000"))</f>
        <v/>
      </c>
      <c r="B149" s="50"/>
      <c r="C149" s="50"/>
      <c r="D149" s="51"/>
      <c r="E149" s="51"/>
      <c r="F149" s="51"/>
      <c r="G149" s="50"/>
      <c r="H149" s="50"/>
      <c r="I149" s="50"/>
      <c r="J149" s="51"/>
      <c r="K149" s="50"/>
      <c r="L149" s="50"/>
      <c r="M149" s="50"/>
      <c r="N149" s="50"/>
      <c r="O149" s="52"/>
      <c r="P149" s="50"/>
      <c r="Q149" s="52"/>
      <c r="R149" s="52"/>
      <c r="S149" s="49" t="str">
        <f aca="false">IF(B149="","",IF(OR(O149="",R149=""),"—",IF(O149&lt;=R149,"⚠ RÉAPPRO","OK")))</f>
        <v/>
      </c>
      <c r="T149" s="50"/>
      <c r="U149" s="50"/>
      <c r="V149" s="50"/>
      <c r="W149" s="50"/>
      <c r="X149" s="50"/>
      <c r="Y149" s="53" t="str">
        <f aca="false">IF(B149="","",IF(X149="","—",IF(X149="Non classé","Non classé",IFERROR(INDEX(RefH_Classe,MATCH(TRIM(LEFT(X149,FIND(",",X149&amp;",")-1)),RefH_Code,0)),"Code H inconnu"))))</f>
        <v/>
      </c>
      <c r="Z149" s="50"/>
      <c r="AA149" s="50"/>
      <c r="AB149" s="51"/>
      <c r="AC149" s="51"/>
      <c r="AD149" s="51"/>
      <c r="AE149" s="51"/>
      <c r="AF149" s="50"/>
      <c r="AG149" s="51"/>
      <c r="AH149" s="54"/>
      <c r="AI149" s="51"/>
      <c r="AJ149" s="55" t="str">
        <f aca="false">IF(AH149="","",EDATE(AH149,60))</f>
        <v/>
      </c>
      <c r="AK149" s="49" t="str">
        <f aca="true">IF(B149="","",IF(OR(AG149="Non",AH149=""),"FDS ABSENTE",IF(TODAY()&gt;=EDATE(AH149,60),"EXPIRÉE",IF(TODAY()&gt;=EDATE(AH149,54),"À RENOUVELER","CONFORME"))))</f>
        <v/>
      </c>
      <c r="AL149" s="50"/>
      <c r="AM149" s="54"/>
      <c r="AN149" s="54"/>
      <c r="AO149" s="50"/>
      <c r="AP149" s="50"/>
      <c r="AQ149" s="50"/>
      <c r="AR149" s="50"/>
      <c r="AS149" s="50"/>
      <c r="AT149" s="50"/>
      <c r="AU149" s="50"/>
      <c r="AV149" s="50"/>
      <c r="AW149" s="52"/>
      <c r="AX149" s="52"/>
      <c r="AY149" s="56" t="str">
        <f aca="false">IF(OR(AW149="",AX149=""),"",AW149*AX149)</f>
        <v/>
      </c>
      <c r="AZ149" s="52"/>
      <c r="BA149" s="56" t="str">
        <f aca="false">IF(AY149="","",IF(AZ149="",AY149,ROUNDUP(AY149/AZ149,0)))</f>
        <v/>
      </c>
      <c r="BB149" s="49" t="str">
        <f aca="false">IF(BA149="","",IF(BA149&gt;=15,"P1 – Critique",IF(BA149&gt;=8,"P2 – Élevée",IF(BA149&gt;=4,"P3 – Modérée","P4 – Faible"))))</f>
        <v/>
      </c>
      <c r="BC149" s="50"/>
      <c r="BD149" s="50"/>
      <c r="BE149" s="54"/>
      <c r="BF149" s="57"/>
      <c r="BG149" s="50"/>
      <c r="BH149" s="54"/>
      <c r="BI149" s="54"/>
      <c r="BJ149" s="50"/>
      <c r="BK149" s="50"/>
    </row>
    <row r="150" customFormat="false" ht="15" hidden="false" customHeight="false" outlineLevel="0" collapsed="false">
      <c r="A150" s="49" t="str">
        <f aca="false">IF(B150="","","PC-"&amp;TEXT(ROW()-2,"000"))</f>
        <v/>
      </c>
      <c r="B150" s="50"/>
      <c r="C150" s="50"/>
      <c r="D150" s="51"/>
      <c r="E150" s="51"/>
      <c r="F150" s="51"/>
      <c r="G150" s="50"/>
      <c r="H150" s="50"/>
      <c r="I150" s="50"/>
      <c r="J150" s="51"/>
      <c r="K150" s="50"/>
      <c r="L150" s="50"/>
      <c r="M150" s="50"/>
      <c r="N150" s="50"/>
      <c r="O150" s="52"/>
      <c r="P150" s="50"/>
      <c r="Q150" s="52"/>
      <c r="R150" s="52"/>
      <c r="S150" s="49" t="str">
        <f aca="false">IF(B150="","",IF(OR(O150="",R150=""),"—",IF(O150&lt;=R150,"⚠ RÉAPPRO","OK")))</f>
        <v/>
      </c>
      <c r="T150" s="50"/>
      <c r="U150" s="50"/>
      <c r="V150" s="50"/>
      <c r="W150" s="50"/>
      <c r="X150" s="50"/>
      <c r="Y150" s="53" t="str">
        <f aca="false">IF(B150="","",IF(X150="","—",IF(X150="Non classé","Non classé",IFERROR(INDEX(RefH_Classe,MATCH(TRIM(LEFT(X150,FIND(",",X150&amp;",")-1)),RefH_Code,0)),"Code H inconnu"))))</f>
        <v/>
      </c>
      <c r="Z150" s="50"/>
      <c r="AA150" s="50"/>
      <c r="AB150" s="51"/>
      <c r="AC150" s="51"/>
      <c r="AD150" s="51"/>
      <c r="AE150" s="51"/>
      <c r="AF150" s="50"/>
      <c r="AG150" s="51"/>
      <c r="AH150" s="54"/>
      <c r="AI150" s="51"/>
      <c r="AJ150" s="55" t="str">
        <f aca="false">IF(AH150="","",EDATE(AH150,60))</f>
        <v/>
      </c>
      <c r="AK150" s="49" t="str">
        <f aca="true">IF(B150="","",IF(OR(AG150="Non",AH150=""),"FDS ABSENTE",IF(TODAY()&gt;=EDATE(AH150,60),"EXPIRÉE",IF(TODAY()&gt;=EDATE(AH150,54),"À RENOUVELER","CONFORME"))))</f>
        <v/>
      </c>
      <c r="AL150" s="50"/>
      <c r="AM150" s="54"/>
      <c r="AN150" s="54"/>
      <c r="AO150" s="50"/>
      <c r="AP150" s="50"/>
      <c r="AQ150" s="50"/>
      <c r="AR150" s="50"/>
      <c r="AS150" s="50"/>
      <c r="AT150" s="50"/>
      <c r="AU150" s="50"/>
      <c r="AV150" s="50"/>
      <c r="AW150" s="52"/>
      <c r="AX150" s="52"/>
      <c r="AY150" s="56" t="str">
        <f aca="false">IF(OR(AW150="",AX150=""),"",AW150*AX150)</f>
        <v/>
      </c>
      <c r="AZ150" s="52"/>
      <c r="BA150" s="56" t="str">
        <f aca="false">IF(AY150="","",IF(AZ150="",AY150,ROUNDUP(AY150/AZ150,0)))</f>
        <v/>
      </c>
      <c r="BB150" s="49" t="str">
        <f aca="false">IF(BA150="","",IF(BA150&gt;=15,"P1 – Critique",IF(BA150&gt;=8,"P2 – Élevée",IF(BA150&gt;=4,"P3 – Modérée","P4 – Faible"))))</f>
        <v/>
      </c>
      <c r="BC150" s="50"/>
      <c r="BD150" s="50"/>
      <c r="BE150" s="54"/>
      <c r="BF150" s="57"/>
      <c r="BG150" s="50"/>
      <c r="BH150" s="54"/>
      <c r="BI150" s="54"/>
      <c r="BJ150" s="50"/>
      <c r="BK150" s="50"/>
    </row>
    <row r="151" customFormat="false" ht="15" hidden="false" customHeight="false" outlineLevel="0" collapsed="false">
      <c r="A151" s="49" t="str">
        <f aca="false">IF(B151="","","PC-"&amp;TEXT(ROW()-2,"000"))</f>
        <v/>
      </c>
      <c r="B151" s="50"/>
      <c r="C151" s="50"/>
      <c r="D151" s="51"/>
      <c r="E151" s="51"/>
      <c r="F151" s="51"/>
      <c r="G151" s="50"/>
      <c r="H151" s="50"/>
      <c r="I151" s="50"/>
      <c r="J151" s="51"/>
      <c r="K151" s="50"/>
      <c r="L151" s="50"/>
      <c r="M151" s="50"/>
      <c r="N151" s="50"/>
      <c r="O151" s="52"/>
      <c r="P151" s="50"/>
      <c r="Q151" s="52"/>
      <c r="R151" s="52"/>
      <c r="S151" s="49" t="str">
        <f aca="false">IF(B151="","",IF(OR(O151="",R151=""),"—",IF(O151&lt;=R151,"⚠ RÉAPPRO","OK")))</f>
        <v/>
      </c>
      <c r="T151" s="50"/>
      <c r="U151" s="50"/>
      <c r="V151" s="50"/>
      <c r="W151" s="50"/>
      <c r="X151" s="50"/>
      <c r="Y151" s="53" t="str">
        <f aca="false">IF(B151="","",IF(X151="","—",IF(X151="Non classé","Non classé",IFERROR(INDEX(RefH_Classe,MATCH(TRIM(LEFT(X151,FIND(",",X151&amp;",")-1)),RefH_Code,0)),"Code H inconnu"))))</f>
        <v/>
      </c>
      <c r="Z151" s="50"/>
      <c r="AA151" s="50"/>
      <c r="AB151" s="51"/>
      <c r="AC151" s="51"/>
      <c r="AD151" s="51"/>
      <c r="AE151" s="51"/>
      <c r="AF151" s="50"/>
      <c r="AG151" s="51"/>
      <c r="AH151" s="54"/>
      <c r="AI151" s="51"/>
      <c r="AJ151" s="55" t="str">
        <f aca="false">IF(AH151="","",EDATE(AH151,60))</f>
        <v/>
      </c>
      <c r="AK151" s="49" t="str">
        <f aca="true">IF(B151="","",IF(OR(AG151="Non",AH151=""),"FDS ABSENTE",IF(TODAY()&gt;=EDATE(AH151,60),"EXPIRÉE",IF(TODAY()&gt;=EDATE(AH151,54),"À RENOUVELER","CONFORME"))))</f>
        <v/>
      </c>
      <c r="AL151" s="50"/>
      <c r="AM151" s="54"/>
      <c r="AN151" s="54"/>
      <c r="AO151" s="50"/>
      <c r="AP151" s="50"/>
      <c r="AQ151" s="50"/>
      <c r="AR151" s="50"/>
      <c r="AS151" s="50"/>
      <c r="AT151" s="50"/>
      <c r="AU151" s="50"/>
      <c r="AV151" s="50"/>
      <c r="AW151" s="52"/>
      <c r="AX151" s="52"/>
      <c r="AY151" s="56" t="str">
        <f aca="false">IF(OR(AW151="",AX151=""),"",AW151*AX151)</f>
        <v/>
      </c>
      <c r="AZ151" s="52"/>
      <c r="BA151" s="56" t="str">
        <f aca="false">IF(AY151="","",IF(AZ151="",AY151,ROUNDUP(AY151/AZ151,0)))</f>
        <v/>
      </c>
      <c r="BB151" s="49" t="str">
        <f aca="false">IF(BA151="","",IF(BA151&gt;=15,"P1 – Critique",IF(BA151&gt;=8,"P2 – Élevée",IF(BA151&gt;=4,"P3 – Modérée","P4 – Faible"))))</f>
        <v/>
      </c>
      <c r="BC151" s="50"/>
      <c r="BD151" s="50"/>
      <c r="BE151" s="54"/>
      <c r="BF151" s="57"/>
      <c r="BG151" s="50"/>
      <c r="BH151" s="54"/>
      <c r="BI151" s="54"/>
      <c r="BJ151" s="50"/>
      <c r="BK151" s="50"/>
    </row>
    <row r="152" customFormat="false" ht="15" hidden="false" customHeight="false" outlineLevel="0" collapsed="false">
      <c r="A152" s="49" t="str">
        <f aca="false">IF(B152="","","PC-"&amp;TEXT(ROW()-2,"000"))</f>
        <v/>
      </c>
      <c r="B152" s="50"/>
      <c r="C152" s="50"/>
      <c r="D152" s="51"/>
      <c r="E152" s="51"/>
      <c r="F152" s="51"/>
      <c r="G152" s="50"/>
      <c r="H152" s="50"/>
      <c r="I152" s="50"/>
      <c r="J152" s="51"/>
      <c r="K152" s="50"/>
      <c r="L152" s="50"/>
      <c r="M152" s="50"/>
      <c r="N152" s="50"/>
      <c r="O152" s="52"/>
      <c r="P152" s="50"/>
      <c r="Q152" s="52"/>
      <c r="R152" s="52"/>
      <c r="S152" s="49" t="str">
        <f aca="false">IF(B152="","",IF(OR(O152="",R152=""),"—",IF(O152&lt;=R152,"⚠ RÉAPPRO","OK")))</f>
        <v/>
      </c>
      <c r="T152" s="50"/>
      <c r="U152" s="50"/>
      <c r="V152" s="50"/>
      <c r="W152" s="50"/>
      <c r="X152" s="50"/>
      <c r="Y152" s="53" t="str">
        <f aca="false">IF(B152="","",IF(X152="","—",IF(X152="Non classé","Non classé",IFERROR(INDEX(RefH_Classe,MATCH(TRIM(LEFT(X152,FIND(",",X152&amp;",")-1)),RefH_Code,0)),"Code H inconnu"))))</f>
        <v/>
      </c>
      <c r="Z152" s="50"/>
      <c r="AA152" s="50"/>
      <c r="AB152" s="51"/>
      <c r="AC152" s="51"/>
      <c r="AD152" s="51"/>
      <c r="AE152" s="51"/>
      <c r="AF152" s="50"/>
      <c r="AG152" s="51"/>
      <c r="AH152" s="54"/>
      <c r="AI152" s="51"/>
      <c r="AJ152" s="55" t="str">
        <f aca="false">IF(AH152="","",EDATE(AH152,60))</f>
        <v/>
      </c>
      <c r="AK152" s="49" t="str">
        <f aca="true">IF(B152="","",IF(OR(AG152="Non",AH152=""),"FDS ABSENTE",IF(TODAY()&gt;=EDATE(AH152,60),"EXPIRÉE",IF(TODAY()&gt;=EDATE(AH152,54),"À RENOUVELER","CONFORME"))))</f>
        <v/>
      </c>
      <c r="AL152" s="50"/>
      <c r="AM152" s="54"/>
      <c r="AN152" s="54"/>
      <c r="AO152" s="50"/>
      <c r="AP152" s="50"/>
      <c r="AQ152" s="50"/>
      <c r="AR152" s="50"/>
      <c r="AS152" s="50"/>
      <c r="AT152" s="50"/>
      <c r="AU152" s="50"/>
      <c r="AV152" s="50"/>
      <c r="AW152" s="52"/>
      <c r="AX152" s="52"/>
      <c r="AY152" s="56" t="str">
        <f aca="false">IF(OR(AW152="",AX152=""),"",AW152*AX152)</f>
        <v/>
      </c>
      <c r="AZ152" s="52"/>
      <c r="BA152" s="56" t="str">
        <f aca="false">IF(AY152="","",IF(AZ152="",AY152,ROUNDUP(AY152/AZ152,0)))</f>
        <v/>
      </c>
      <c r="BB152" s="49" t="str">
        <f aca="false">IF(BA152="","",IF(BA152&gt;=15,"P1 – Critique",IF(BA152&gt;=8,"P2 – Élevée",IF(BA152&gt;=4,"P3 – Modérée","P4 – Faible"))))</f>
        <v/>
      </c>
      <c r="BC152" s="50"/>
      <c r="BD152" s="50"/>
      <c r="BE152" s="54"/>
      <c r="BF152" s="57"/>
      <c r="BG152" s="50"/>
      <c r="BH152" s="54"/>
      <c r="BI152" s="54"/>
      <c r="BJ152" s="50"/>
      <c r="BK152" s="50"/>
    </row>
    <row r="153" customFormat="false" ht="15" hidden="false" customHeight="false" outlineLevel="0" collapsed="false">
      <c r="A153" s="49" t="str">
        <f aca="false">IF(B153="","","PC-"&amp;TEXT(ROW()-2,"000"))</f>
        <v/>
      </c>
      <c r="B153" s="50"/>
      <c r="C153" s="50"/>
      <c r="D153" s="51"/>
      <c r="E153" s="51"/>
      <c r="F153" s="51"/>
      <c r="G153" s="50"/>
      <c r="H153" s="50"/>
      <c r="I153" s="50"/>
      <c r="J153" s="51"/>
      <c r="K153" s="50"/>
      <c r="L153" s="50"/>
      <c r="M153" s="50"/>
      <c r="N153" s="50"/>
      <c r="O153" s="52"/>
      <c r="P153" s="50"/>
      <c r="Q153" s="52"/>
      <c r="R153" s="52"/>
      <c r="S153" s="49" t="str">
        <f aca="false">IF(B153="","",IF(OR(O153="",R153=""),"—",IF(O153&lt;=R153,"⚠ RÉAPPRO","OK")))</f>
        <v/>
      </c>
      <c r="T153" s="50"/>
      <c r="U153" s="50"/>
      <c r="V153" s="50"/>
      <c r="W153" s="50"/>
      <c r="X153" s="50"/>
      <c r="Y153" s="53" t="str">
        <f aca="false">IF(B153="","",IF(X153="","—",IF(X153="Non classé","Non classé",IFERROR(INDEX(RefH_Classe,MATCH(TRIM(LEFT(X153,FIND(",",X153&amp;",")-1)),RefH_Code,0)),"Code H inconnu"))))</f>
        <v/>
      </c>
      <c r="Z153" s="50"/>
      <c r="AA153" s="50"/>
      <c r="AB153" s="51"/>
      <c r="AC153" s="51"/>
      <c r="AD153" s="51"/>
      <c r="AE153" s="51"/>
      <c r="AF153" s="50"/>
      <c r="AG153" s="51"/>
      <c r="AH153" s="54"/>
      <c r="AI153" s="51"/>
      <c r="AJ153" s="55" t="str">
        <f aca="false">IF(AH153="","",EDATE(AH153,60))</f>
        <v/>
      </c>
      <c r="AK153" s="49" t="str">
        <f aca="true">IF(B153="","",IF(OR(AG153="Non",AH153=""),"FDS ABSENTE",IF(TODAY()&gt;=EDATE(AH153,60),"EXPIRÉE",IF(TODAY()&gt;=EDATE(AH153,54),"À RENOUVELER","CONFORME"))))</f>
        <v/>
      </c>
      <c r="AL153" s="50"/>
      <c r="AM153" s="54"/>
      <c r="AN153" s="54"/>
      <c r="AO153" s="50"/>
      <c r="AP153" s="50"/>
      <c r="AQ153" s="50"/>
      <c r="AR153" s="50"/>
      <c r="AS153" s="50"/>
      <c r="AT153" s="50"/>
      <c r="AU153" s="50"/>
      <c r="AV153" s="50"/>
      <c r="AW153" s="52"/>
      <c r="AX153" s="52"/>
      <c r="AY153" s="56" t="str">
        <f aca="false">IF(OR(AW153="",AX153=""),"",AW153*AX153)</f>
        <v/>
      </c>
      <c r="AZ153" s="52"/>
      <c r="BA153" s="56" t="str">
        <f aca="false">IF(AY153="","",IF(AZ153="",AY153,ROUNDUP(AY153/AZ153,0)))</f>
        <v/>
      </c>
      <c r="BB153" s="49" t="str">
        <f aca="false">IF(BA153="","",IF(BA153&gt;=15,"P1 – Critique",IF(BA153&gt;=8,"P2 – Élevée",IF(BA153&gt;=4,"P3 – Modérée","P4 – Faible"))))</f>
        <v/>
      </c>
      <c r="BC153" s="50"/>
      <c r="BD153" s="50"/>
      <c r="BE153" s="54"/>
      <c r="BF153" s="57"/>
      <c r="BG153" s="50"/>
      <c r="BH153" s="54"/>
      <c r="BI153" s="54"/>
      <c r="BJ153" s="50"/>
      <c r="BK153" s="50"/>
    </row>
    <row r="154" customFormat="false" ht="15" hidden="false" customHeight="false" outlineLevel="0" collapsed="false">
      <c r="A154" s="49" t="str">
        <f aca="false">IF(B154="","","PC-"&amp;TEXT(ROW()-2,"000"))</f>
        <v/>
      </c>
      <c r="B154" s="50"/>
      <c r="C154" s="50"/>
      <c r="D154" s="51"/>
      <c r="E154" s="51"/>
      <c r="F154" s="51"/>
      <c r="G154" s="50"/>
      <c r="H154" s="50"/>
      <c r="I154" s="50"/>
      <c r="J154" s="51"/>
      <c r="K154" s="50"/>
      <c r="L154" s="50"/>
      <c r="M154" s="50"/>
      <c r="N154" s="50"/>
      <c r="O154" s="52"/>
      <c r="P154" s="50"/>
      <c r="Q154" s="52"/>
      <c r="R154" s="52"/>
      <c r="S154" s="49" t="str">
        <f aca="false">IF(B154="","",IF(OR(O154="",R154=""),"—",IF(O154&lt;=R154,"⚠ RÉAPPRO","OK")))</f>
        <v/>
      </c>
      <c r="T154" s="50"/>
      <c r="U154" s="50"/>
      <c r="V154" s="50"/>
      <c r="W154" s="50"/>
      <c r="X154" s="50"/>
      <c r="Y154" s="53" t="str">
        <f aca="false">IF(B154="","",IF(X154="","—",IF(X154="Non classé","Non classé",IFERROR(INDEX(RefH_Classe,MATCH(TRIM(LEFT(X154,FIND(",",X154&amp;",")-1)),RefH_Code,0)),"Code H inconnu"))))</f>
        <v/>
      </c>
      <c r="Z154" s="50"/>
      <c r="AA154" s="50"/>
      <c r="AB154" s="51"/>
      <c r="AC154" s="51"/>
      <c r="AD154" s="51"/>
      <c r="AE154" s="51"/>
      <c r="AF154" s="50"/>
      <c r="AG154" s="51"/>
      <c r="AH154" s="54"/>
      <c r="AI154" s="51"/>
      <c r="AJ154" s="55" t="str">
        <f aca="false">IF(AH154="","",EDATE(AH154,60))</f>
        <v/>
      </c>
      <c r="AK154" s="49" t="str">
        <f aca="true">IF(B154="","",IF(OR(AG154="Non",AH154=""),"FDS ABSENTE",IF(TODAY()&gt;=EDATE(AH154,60),"EXPIRÉE",IF(TODAY()&gt;=EDATE(AH154,54),"À RENOUVELER","CONFORME"))))</f>
        <v/>
      </c>
      <c r="AL154" s="50"/>
      <c r="AM154" s="54"/>
      <c r="AN154" s="54"/>
      <c r="AO154" s="50"/>
      <c r="AP154" s="50"/>
      <c r="AQ154" s="50"/>
      <c r="AR154" s="50"/>
      <c r="AS154" s="50"/>
      <c r="AT154" s="50"/>
      <c r="AU154" s="50"/>
      <c r="AV154" s="50"/>
      <c r="AW154" s="52"/>
      <c r="AX154" s="52"/>
      <c r="AY154" s="56" t="str">
        <f aca="false">IF(OR(AW154="",AX154=""),"",AW154*AX154)</f>
        <v/>
      </c>
      <c r="AZ154" s="52"/>
      <c r="BA154" s="56" t="str">
        <f aca="false">IF(AY154="","",IF(AZ154="",AY154,ROUNDUP(AY154/AZ154,0)))</f>
        <v/>
      </c>
      <c r="BB154" s="49" t="str">
        <f aca="false">IF(BA154="","",IF(BA154&gt;=15,"P1 – Critique",IF(BA154&gt;=8,"P2 – Élevée",IF(BA154&gt;=4,"P3 – Modérée","P4 – Faible"))))</f>
        <v/>
      </c>
      <c r="BC154" s="50"/>
      <c r="BD154" s="50"/>
      <c r="BE154" s="54"/>
      <c r="BF154" s="57"/>
      <c r="BG154" s="50"/>
      <c r="BH154" s="54"/>
      <c r="BI154" s="54"/>
      <c r="BJ154" s="50"/>
      <c r="BK154" s="50"/>
    </row>
    <row r="155" customFormat="false" ht="15" hidden="false" customHeight="false" outlineLevel="0" collapsed="false">
      <c r="A155" s="49" t="str">
        <f aca="false">IF(B155="","","PC-"&amp;TEXT(ROW()-2,"000"))</f>
        <v/>
      </c>
      <c r="B155" s="50"/>
      <c r="C155" s="50"/>
      <c r="D155" s="51"/>
      <c r="E155" s="51"/>
      <c r="F155" s="51"/>
      <c r="G155" s="50"/>
      <c r="H155" s="50"/>
      <c r="I155" s="50"/>
      <c r="J155" s="51"/>
      <c r="K155" s="50"/>
      <c r="L155" s="50"/>
      <c r="M155" s="50"/>
      <c r="N155" s="50"/>
      <c r="O155" s="52"/>
      <c r="P155" s="50"/>
      <c r="Q155" s="52"/>
      <c r="R155" s="52"/>
      <c r="S155" s="49" t="str">
        <f aca="false">IF(B155="","",IF(OR(O155="",R155=""),"—",IF(O155&lt;=R155,"⚠ RÉAPPRO","OK")))</f>
        <v/>
      </c>
      <c r="T155" s="50"/>
      <c r="U155" s="50"/>
      <c r="V155" s="50"/>
      <c r="W155" s="50"/>
      <c r="X155" s="50"/>
      <c r="Y155" s="53" t="str">
        <f aca="false">IF(B155="","",IF(X155="","—",IF(X155="Non classé","Non classé",IFERROR(INDEX(RefH_Classe,MATCH(TRIM(LEFT(X155,FIND(",",X155&amp;",")-1)),RefH_Code,0)),"Code H inconnu"))))</f>
        <v/>
      </c>
      <c r="Z155" s="50"/>
      <c r="AA155" s="50"/>
      <c r="AB155" s="51"/>
      <c r="AC155" s="51"/>
      <c r="AD155" s="51"/>
      <c r="AE155" s="51"/>
      <c r="AF155" s="50"/>
      <c r="AG155" s="51"/>
      <c r="AH155" s="54"/>
      <c r="AI155" s="51"/>
      <c r="AJ155" s="55" t="str">
        <f aca="false">IF(AH155="","",EDATE(AH155,60))</f>
        <v/>
      </c>
      <c r="AK155" s="49" t="str">
        <f aca="true">IF(B155="","",IF(OR(AG155="Non",AH155=""),"FDS ABSENTE",IF(TODAY()&gt;=EDATE(AH155,60),"EXPIRÉE",IF(TODAY()&gt;=EDATE(AH155,54),"À RENOUVELER","CONFORME"))))</f>
        <v/>
      </c>
      <c r="AL155" s="50"/>
      <c r="AM155" s="54"/>
      <c r="AN155" s="54"/>
      <c r="AO155" s="50"/>
      <c r="AP155" s="50"/>
      <c r="AQ155" s="50"/>
      <c r="AR155" s="50"/>
      <c r="AS155" s="50"/>
      <c r="AT155" s="50"/>
      <c r="AU155" s="50"/>
      <c r="AV155" s="50"/>
      <c r="AW155" s="52"/>
      <c r="AX155" s="52"/>
      <c r="AY155" s="56" t="str">
        <f aca="false">IF(OR(AW155="",AX155=""),"",AW155*AX155)</f>
        <v/>
      </c>
      <c r="AZ155" s="52"/>
      <c r="BA155" s="56" t="str">
        <f aca="false">IF(AY155="","",IF(AZ155="",AY155,ROUNDUP(AY155/AZ155,0)))</f>
        <v/>
      </c>
      <c r="BB155" s="49" t="str">
        <f aca="false">IF(BA155="","",IF(BA155&gt;=15,"P1 – Critique",IF(BA155&gt;=8,"P2 – Élevée",IF(BA155&gt;=4,"P3 – Modérée","P4 – Faible"))))</f>
        <v/>
      </c>
      <c r="BC155" s="50"/>
      <c r="BD155" s="50"/>
      <c r="BE155" s="54"/>
      <c r="BF155" s="57"/>
      <c r="BG155" s="50"/>
      <c r="BH155" s="54"/>
      <c r="BI155" s="54"/>
      <c r="BJ155" s="50"/>
      <c r="BK155" s="50"/>
    </row>
    <row r="156" customFormat="false" ht="15" hidden="false" customHeight="false" outlineLevel="0" collapsed="false">
      <c r="A156" s="49" t="str">
        <f aca="false">IF(B156="","","PC-"&amp;TEXT(ROW()-2,"000"))</f>
        <v/>
      </c>
      <c r="B156" s="50"/>
      <c r="C156" s="50"/>
      <c r="D156" s="51"/>
      <c r="E156" s="51"/>
      <c r="F156" s="51"/>
      <c r="G156" s="50"/>
      <c r="H156" s="50"/>
      <c r="I156" s="50"/>
      <c r="J156" s="51"/>
      <c r="K156" s="50"/>
      <c r="L156" s="50"/>
      <c r="M156" s="50"/>
      <c r="N156" s="50"/>
      <c r="O156" s="52"/>
      <c r="P156" s="50"/>
      <c r="Q156" s="52"/>
      <c r="R156" s="52"/>
      <c r="S156" s="49" t="str">
        <f aca="false">IF(B156="","",IF(OR(O156="",R156=""),"—",IF(O156&lt;=R156,"⚠ RÉAPPRO","OK")))</f>
        <v/>
      </c>
      <c r="T156" s="50"/>
      <c r="U156" s="50"/>
      <c r="V156" s="50"/>
      <c r="W156" s="50"/>
      <c r="X156" s="50"/>
      <c r="Y156" s="53" t="str">
        <f aca="false">IF(B156="","",IF(X156="","—",IF(X156="Non classé","Non classé",IFERROR(INDEX(RefH_Classe,MATCH(TRIM(LEFT(X156,FIND(",",X156&amp;",")-1)),RefH_Code,0)),"Code H inconnu"))))</f>
        <v/>
      </c>
      <c r="Z156" s="50"/>
      <c r="AA156" s="50"/>
      <c r="AB156" s="51"/>
      <c r="AC156" s="51"/>
      <c r="AD156" s="51"/>
      <c r="AE156" s="51"/>
      <c r="AF156" s="50"/>
      <c r="AG156" s="51"/>
      <c r="AH156" s="54"/>
      <c r="AI156" s="51"/>
      <c r="AJ156" s="55" t="str">
        <f aca="false">IF(AH156="","",EDATE(AH156,60))</f>
        <v/>
      </c>
      <c r="AK156" s="49" t="str">
        <f aca="true">IF(B156="","",IF(OR(AG156="Non",AH156=""),"FDS ABSENTE",IF(TODAY()&gt;=EDATE(AH156,60),"EXPIRÉE",IF(TODAY()&gt;=EDATE(AH156,54),"À RENOUVELER","CONFORME"))))</f>
        <v/>
      </c>
      <c r="AL156" s="50"/>
      <c r="AM156" s="54"/>
      <c r="AN156" s="54"/>
      <c r="AO156" s="50"/>
      <c r="AP156" s="50"/>
      <c r="AQ156" s="50"/>
      <c r="AR156" s="50"/>
      <c r="AS156" s="50"/>
      <c r="AT156" s="50"/>
      <c r="AU156" s="50"/>
      <c r="AV156" s="50"/>
      <c r="AW156" s="52"/>
      <c r="AX156" s="52"/>
      <c r="AY156" s="56" t="str">
        <f aca="false">IF(OR(AW156="",AX156=""),"",AW156*AX156)</f>
        <v/>
      </c>
      <c r="AZ156" s="52"/>
      <c r="BA156" s="56" t="str">
        <f aca="false">IF(AY156="","",IF(AZ156="",AY156,ROUNDUP(AY156/AZ156,0)))</f>
        <v/>
      </c>
      <c r="BB156" s="49" t="str">
        <f aca="false">IF(BA156="","",IF(BA156&gt;=15,"P1 – Critique",IF(BA156&gt;=8,"P2 – Élevée",IF(BA156&gt;=4,"P3 – Modérée","P4 – Faible"))))</f>
        <v/>
      </c>
      <c r="BC156" s="50"/>
      <c r="BD156" s="50"/>
      <c r="BE156" s="54"/>
      <c r="BF156" s="57"/>
      <c r="BG156" s="50"/>
      <c r="BH156" s="54"/>
      <c r="BI156" s="54"/>
      <c r="BJ156" s="50"/>
      <c r="BK156" s="50"/>
    </row>
    <row r="157" customFormat="false" ht="15" hidden="false" customHeight="false" outlineLevel="0" collapsed="false">
      <c r="A157" s="49" t="str">
        <f aca="false">IF(B157="","","PC-"&amp;TEXT(ROW()-2,"000"))</f>
        <v/>
      </c>
      <c r="B157" s="50"/>
      <c r="C157" s="50"/>
      <c r="D157" s="51"/>
      <c r="E157" s="51"/>
      <c r="F157" s="51"/>
      <c r="G157" s="50"/>
      <c r="H157" s="50"/>
      <c r="I157" s="50"/>
      <c r="J157" s="51"/>
      <c r="K157" s="50"/>
      <c r="L157" s="50"/>
      <c r="M157" s="50"/>
      <c r="N157" s="50"/>
      <c r="O157" s="52"/>
      <c r="P157" s="50"/>
      <c r="Q157" s="52"/>
      <c r="R157" s="52"/>
      <c r="S157" s="49" t="str">
        <f aca="false">IF(B157="","",IF(OR(O157="",R157=""),"—",IF(O157&lt;=R157,"⚠ RÉAPPRO","OK")))</f>
        <v/>
      </c>
      <c r="T157" s="50"/>
      <c r="U157" s="50"/>
      <c r="V157" s="50"/>
      <c r="W157" s="50"/>
      <c r="X157" s="50"/>
      <c r="Y157" s="53" t="str">
        <f aca="false">IF(B157="","",IF(X157="","—",IF(X157="Non classé","Non classé",IFERROR(INDEX(RefH_Classe,MATCH(TRIM(LEFT(X157,FIND(",",X157&amp;",")-1)),RefH_Code,0)),"Code H inconnu"))))</f>
        <v/>
      </c>
      <c r="Z157" s="50"/>
      <c r="AA157" s="50"/>
      <c r="AB157" s="51"/>
      <c r="AC157" s="51"/>
      <c r="AD157" s="51"/>
      <c r="AE157" s="51"/>
      <c r="AF157" s="50"/>
      <c r="AG157" s="51"/>
      <c r="AH157" s="54"/>
      <c r="AI157" s="51"/>
      <c r="AJ157" s="55" t="str">
        <f aca="false">IF(AH157="","",EDATE(AH157,60))</f>
        <v/>
      </c>
      <c r="AK157" s="49" t="str">
        <f aca="true">IF(B157="","",IF(OR(AG157="Non",AH157=""),"FDS ABSENTE",IF(TODAY()&gt;=EDATE(AH157,60),"EXPIRÉE",IF(TODAY()&gt;=EDATE(AH157,54),"À RENOUVELER","CONFORME"))))</f>
        <v/>
      </c>
      <c r="AL157" s="50"/>
      <c r="AM157" s="54"/>
      <c r="AN157" s="54"/>
      <c r="AO157" s="50"/>
      <c r="AP157" s="50"/>
      <c r="AQ157" s="50"/>
      <c r="AR157" s="50"/>
      <c r="AS157" s="50"/>
      <c r="AT157" s="50"/>
      <c r="AU157" s="50"/>
      <c r="AV157" s="50"/>
      <c r="AW157" s="52"/>
      <c r="AX157" s="52"/>
      <c r="AY157" s="56" t="str">
        <f aca="false">IF(OR(AW157="",AX157=""),"",AW157*AX157)</f>
        <v/>
      </c>
      <c r="AZ157" s="52"/>
      <c r="BA157" s="56" t="str">
        <f aca="false">IF(AY157="","",IF(AZ157="",AY157,ROUNDUP(AY157/AZ157,0)))</f>
        <v/>
      </c>
      <c r="BB157" s="49" t="str">
        <f aca="false">IF(BA157="","",IF(BA157&gt;=15,"P1 – Critique",IF(BA157&gt;=8,"P2 – Élevée",IF(BA157&gt;=4,"P3 – Modérée","P4 – Faible"))))</f>
        <v/>
      </c>
      <c r="BC157" s="50"/>
      <c r="BD157" s="50"/>
      <c r="BE157" s="54"/>
      <c r="BF157" s="57"/>
      <c r="BG157" s="50"/>
      <c r="BH157" s="54"/>
      <c r="BI157" s="54"/>
      <c r="BJ157" s="50"/>
      <c r="BK157" s="50"/>
    </row>
    <row r="158" customFormat="false" ht="15" hidden="false" customHeight="false" outlineLevel="0" collapsed="false">
      <c r="A158" s="49" t="str">
        <f aca="false">IF(B158="","","PC-"&amp;TEXT(ROW()-2,"000"))</f>
        <v/>
      </c>
      <c r="B158" s="50"/>
      <c r="C158" s="50"/>
      <c r="D158" s="51"/>
      <c r="E158" s="51"/>
      <c r="F158" s="51"/>
      <c r="G158" s="50"/>
      <c r="H158" s="50"/>
      <c r="I158" s="50"/>
      <c r="J158" s="51"/>
      <c r="K158" s="50"/>
      <c r="L158" s="50"/>
      <c r="M158" s="50"/>
      <c r="N158" s="50"/>
      <c r="O158" s="52"/>
      <c r="P158" s="50"/>
      <c r="Q158" s="52"/>
      <c r="R158" s="52"/>
      <c r="S158" s="49" t="str">
        <f aca="false">IF(B158="","",IF(OR(O158="",R158=""),"—",IF(O158&lt;=R158,"⚠ RÉAPPRO","OK")))</f>
        <v/>
      </c>
      <c r="T158" s="50"/>
      <c r="U158" s="50"/>
      <c r="V158" s="50"/>
      <c r="W158" s="50"/>
      <c r="X158" s="50"/>
      <c r="Y158" s="53" t="str">
        <f aca="false">IF(B158="","",IF(X158="","—",IF(X158="Non classé","Non classé",IFERROR(INDEX(RefH_Classe,MATCH(TRIM(LEFT(X158,FIND(",",X158&amp;",")-1)),RefH_Code,0)),"Code H inconnu"))))</f>
        <v/>
      </c>
      <c r="Z158" s="50"/>
      <c r="AA158" s="50"/>
      <c r="AB158" s="51"/>
      <c r="AC158" s="51"/>
      <c r="AD158" s="51"/>
      <c r="AE158" s="51"/>
      <c r="AF158" s="50"/>
      <c r="AG158" s="51"/>
      <c r="AH158" s="54"/>
      <c r="AI158" s="51"/>
      <c r="AJ158" s="55" t="str">
        <f aca="false">IF(AH158="","",EDATE(AH158,60))</f>
        <v/>
      </c>
      <c r="AK158" s="49" t="str">
        <f aca="true">IF(B158="","",IF(OR(AG158="Non",AH158=""),"FDS ABSENTE",IF(TODAY()&gt;=EDATE(AH158,60),"EXPIRÉE",IF(TODAY()&gt;=EDATE(AH158,54),"À RENOUVELER","CONFORME"))))</f>
        <v/>
      </c>
      <c r="AL158" s="50"/>
      <c r="AM158" s="54"/>
      <c r="AN158" s="54"/>
      <c r="AO158" s="50"/>
      <c r="AP158" s="50"/>
      <c r="AQ158" s="50"/>
      <c r="AR158" s="50"/>
      <c r="AS158" s="50"/>
      <c r="AT158" s="50"/>
      <c r="AU158" s="50"/>
      <c r="AV158" s="50"/>
      <c r="AW158" s="52"/>
      <c r="AX158" s="52"/>
      <c r="AY158" s="56" t="str">
        <f aca="false">IF(OR(AW158="",AX158=""),"",AW158*AX158)</f>
        <v/>
      </c>
      <c r="AZ158" s="52"/>
      <c r="BA158" s="56" t="str">
        <f aca="false">IF(AY158="","",IF(AZ158="",AY158,ROUNDUP(AY158/AZ158,0)))</f>
        <v/>
      </c>
      <c r="BB158" s="49" t="str">
        <f aca="false">IF(BA158="","",IF(BA158&gt;=15,"P1 – Critique",IF(BA158&gt;=8,"P2 – Élevée",IF(BA158&gt;=4,"P3 – Modérée","P4 – Faible"))))</f>
        <v/>
      </c>
      <c r="BC158" s="50"/>
      <c r="BD158" s="50"/>
      <c r="BE158" s="54"/>
      <c r="BF158" s="57"/>
      <c r="BG158" s="50"/>
      <c r="BH158" s="54"/>
      <c r="BI158" s="54"/>
      <c r="BJ158" s="50"/>
      <c r="BK158" s="50"/>
    </row>
    <row r="159" customFormat="false" ht="15" hidden="false" customHeight="false" outlineLevel="0" collapsed="false">
      <c r="A159" s="49" t="str">
        <f aca="false">IF(B159="","","PC-"&amp;TEXT(ROW()-2,"000"))</f>
        <v/>
      </c>
      <c r="B159" s="50"/>
      <c r="C159" s="50"/>
      <c r="D159" s="51"/>
      <c r="E159" s="51"/>
      <c r="F159" s="51"/>
      <c r="G159" s="50"/>
      <c r="H159" s="50"/>
      <c r="I159" s="50"/>
      <c r="J159" s="51"/>
      <c r="K159" s="50"/>
      <c r="L159" s="50"/>
      <c r="M159" s="50"/>
      <c r="N159" s="50"/>
      <c r="O159" s="52"/>
      <c r="P159" s="50"/>
      <c r="Q159" s="52"/>
      <c r="R159" s="52"/>
      <c r="S159" s="49" t="str">
        <f aca="false">IF(B159="","",IF(OR(O159="",R159=""),"—",IF(O159&lt;=R159,"⚠ RÉAPPRO","OK")))</f>
        <v/>
      </c>
      <c r="T159" s="50"/>
      <c r="U159" s="50"/>
      <c r="V159" s="50"/>
      <c r="W159" s="50"/>
      <c r="X159" s="50"/>
      <c r="Y159" s="53" t="str">
        <f aca="false">IF(B159="","",IF(X159="","—",IF(X159="Non classé","Non classé",IFERROR(INDEX(RefH_Classe,MATCH(TRIM(LEFT(X159,FIND(",",X159&amp;",")-1)),RefH_Code,0)),"Code H inconnu"))))</f>
        <v/>
      </c>
      <c r="Z159" s="50"/>
      <c r="AA159" s="50"/>
      <c r="AB159" s="51"/>
      <c r="AC159" s="51"/>
      <c r="AD159" s="51"/>
      <c r="AE159" s="51"/>
      <c r="AF159" s="50"/>
      <c r="AG159" s="51"/>
      <c r="AH159" s="54"/>
      <c r="AI159" s="51"/>
      <c r="AJ159" s="55" t="str">
        <f aca="false">IF(AH159="","",EDATE(AH159,60))</f>
        <v/>
      </c>
      <c r="AK159" s="49" t="str">
        <f aca="true">IF(B159="","",IF(OR(AG159="Non",AH159=""),"FDS ABSENTE",IF(TODAY()&gt;=EDATE(AH159,60),"EXPIRÉE",IF(TODAY()&gt;=EDATE(AH159,54),"À RENOUVELER","CONFORME"))))</f>
        <v/>
      </c>
      <c r="AL159" s="50"/>
      <c r="AM159" s="54"/>
      <c r="AN159" s="54"/>
      <c r="AO159" s="50"/>
      <c r="AP159" s="50"/>
      <c r="AQ159" s="50"/>
      <c r="AR159" s="50"/>
      <c r="AS159" s="50"/>
      <c r="AT159" s="50"/>
      <c r="AU159" s="50"/>
      <c r="AV159" s="50"/>
      <c r="AW159" s="52"/>
      <c r="AX159" s="52"/>
      <c r="AY159" s="56" t="str">
        <f aca="false">IF(OR(AW159="",AX159=""),"",AW159*AX159)</f>
        <v/>
      </c>
      <c r="AZ159" s="52"/>
      <c r="BA159" s="56" t="str">
        <f aca="false">IF(AY159="","",IF(AZ159="",AY159,ROUNDUP(AY159/AZ159,0)))</f>
        <v/>
      </c>
      <c r="BB159" s="49" t="str">
        <f aca="false">IF(BA159="","",IF(BA159&gt;=15,"P1 – Critique",IF(BA159&gt;=8,"P2 – Élevée",IF(BA159&gt;=4,"P3 – Modérée","P4 – Faible"))))</f>
        <v/>
      </c>
      <c r="BC159" s="50"/>
      <c r="BD159" s="50"/>
      <c r="BE159" s="54"/>
      <c r="BF159" s="57"/>
      <c r="BG159" s="50"/>
      <c r="BH159" s="54"/>
      <c r="BI159" s="54"/>
      <c r="BJ159" s="50"/>
      <c r="BK159" s="50"/>
    </row>
    <row r="160" customFormat="false" ht="15" hidden="false" customHeight="false" outlineLevel="0" collapsed="false">
      <c r="A160" s="49" t="str">
        <f aca="false">IF(B160="","","PC-"&amp;TEXT(ROW()-2,"000"))</f>
        <v/>
      </c>
      <c r="B160" s="50"/>
      <c r="C160" s="50"/>
      <c r="D160" s="51"/>
      <c r="E160" s="51"/>
      <c r="F160" s="51"/>
      <c r="G160" s="50"/>
      <c r="H160" s="50"/>
      <c r="I160" s="50"/>
      <c r="J160" s="51"/>
      <c r="K160" s="50"/>
      <c r="L160" s="50"/>
      <c r="M160" s="50"/>
      <c r="N160" s="50"/>
      <c r="O160" s="52"/>
      <c r="P160" s="50"/>
      <c r="Q160" s="52"/>
      <c r="R160" s="52"/>
      <c r="S160" s="49" t="str">
        <f aca="false">IF(B160="","",IF(OR(O160="",R160=""),"—",IF(O160&lt;=R160,"⚠ RÉAPPRO","OK")))</f>
        <v/>
      </c>
      <c r="T160" s="50"/>
      <c r="U160" s="50"/>
      <c r="V160" s="50"/>
      <c r="W160" s="50"/>
      <c r="X160" s="50"/>
      <c r="Y160" s="53" t="str">
        <f aca="false">IF(B160="","",IF(X160="","—",IF(X160="Non classé","Non classé",IFERROR(INDEX(RefH_Classe,MATCH(TRIM(LEFT(X160,FIND(",",X160&amp;",")-1)),RefH_Code,0)),"Code H inconnu"))))</f>
        <v/>
      </c>
      <c r="Z160" s="50"/>
      <c r="AA160" s="50"/>
      <c r="AB160" s="51"/>
      <c r="AC160" s="51"/>
      <c r="AD160" s="51"/>
      <c r="AE160" s="51"/>
      <c r="AF160" s="50"/>
      <c r="AG160" s="51"/>
      <c r="AH160" s="54"/>
      <c r="AI160" s="51"/>
      <c r="AJ160" s="55" t="str">
        <f aca="false">IF(AH160="","",EDATE(AH160,60))</f>
        <v/>
      </c>
      <c r="AK160" s="49" t="str">
        <f aca="true">IF(B160="","",IF(OR(AG160="Non",AH160=""),"FDS ABSENTE",IF(TODAY()&gt;=EDATE(AH160,60),"EXPIRÉE",IF(TODAY()&gt;=EDATE(AH160,54),"À RENOUVELER","CONFORME"))))</f>
        <v/>
      </c>
      <c r="AL160" s="50"/>
      <c r="AM160" s="54"/>
      <c r="AN160" s="54"/>
      <c r="AO160" s="50"/>
      <c r="AP160" s="50"/>
      <c r="AQ160" s="50"/>
      <c r="AR160" s="50"/>
      <c r="AS160" s="50"/>
      <c r="AT160" s="50"/>
      <c r="AU160" s="50"/>
      <c r="AV160" s="50"/>
      <c r="AW160" s="52"/>
      <c r="AX160" s="52"/>
      <c r="AY160" s="56" t="str">
        <f aca="false">IF(OR(AW160="",AX160=""),"",AW160*AX160)</f>
        <v/>
      </c>
      <c r="AZ160" s="52"/>
      <c r="BA160" s="56" t="str">
        <f aca="false">IF(AY160="","",IF(AZ160="",AY160,ROUNDUP(AY160/AZ160,0)))</f>
        <v/>
      </c>
      <c r="BB160" s="49" t="str">
        <f aca="false">IF(BA160="","",IF(BA160&gt;=15,"P1 – Critique",IF(BA160&gt;=8,"P2 – Élevée",IF(BA160&gt;=4,"P3 – Modérée","P4 – Faible"))))</f>
        <v/>
      </c>
      <c r="BC160" s="50"/>
      <c r="BD160" s="50"/>
      <c r="BE160" s="54"/>
      <c r="BF160" s="57"/>
      <c r="BG160" s="50"/>
      <c r="BH160" s="54"/>
      <c r="BI160" s="54"/>
      <c r="BJ160" s="50"/>
      <c r="BK160" s="50"/>
    </row>
    <row r="161" customFormat="false" ht="15" hidden="false" customHeight="false" outlineLevel="0" collapsed="false">
      <c r="A161" s="49" t="str">
        <f aca="false">IF(B161="","","PC-"&amp;TEXT(ROW()-2,"000"))</f>
        <v/>
      </c>
      <c r="B161" s="50"/>
      <c r="C161" s="50"/>
      <c r="D161" s="51"/>
      <c r="E161" s="51"/>
      <c r="F161" s="51"/>
      <c r="G161" s="50"/>
      <c r="H161" s="50"/>
      <c r="I161" s="50"/>
      <c r="J161" s="51"/>
      <c r="K161" s="50"/>
      <c r="L161" s="50"/>
      <c r="M161" s="50"/>
      <c r="N161" s="50"/>
      <c r="O161" s="52"/>
      <c r="P161" s="50"/>
      <c r="Q161" s="52"/>
      <c r="R161" s="52"/>
      <c r="S161" s="49" t="str">
        <f aca="false">IF(B161="","",IF(OR(O161="",R161=""),"—",IF(O161&lt;=R161,"⚠ RÉAPPRO","OK")))</f>
        <v/>
      </c>
      <c r="T161" s="50"/>
      <c r="U161" s="50"/>
      <c r="V161" s="50"/>
      <c r="W161" s="50"/>
      <c r="X161" s="50"/>
      <c r="Y161" s="53" t="str">
        <f aca="false">IF(B161="","",IF(X161="","—",IF(X161="Non classé","Non classé",IFERROR(INDEX(RefH_Classe,MATCH(TRIM(LEFT(X161,FIND(",",X161&amp;",")-1)),RefH_Code,0)),"Code H inconnu"))))</f>
        <v/>
      </c>
      <c r="Z161" s="50"/>
      <c r="AA161" s="50"/>
      <c r="AB161" s="51"/>
      <c r="AC161" s="51"/>
      <c r="AD161" s="51"/>
      <c r="AE161" s="51"/>
      <c r="AF161" s="50"/>
      <c r="AG161" s="51"/>
      <c r="AH161" s="54"/>
      <c r="AI161" s="51"/>
      <c r="AJ161" s="55" t="str">
        <f aca="false">IF(AH161="","",EDATE(AH161,60))</f>
        <v/>
      </c>
      <c r="AK161" s="49" t="str">
        <f aca="true">IF(B161="","",IF(OR(AG161="Non",AH161=""),"FDS ABSENTE",IF(TODAY()&gt;=EDATE(AH161,60),"EXPIRÉE",IF(TODAY()&gt;=EDATE(AH161,54),"À RENOUVELER","CONFORME"))))</f>
        <v/>
      </c>
      <c r="AL161" s="50"/>
      <c r="AM161" s="54"/>
      <c r="AN161" s="54"/>
      <c r="AO161" s="50"/>
      <c r="AP161" s="50"/>
      <c r="AQ161" s="50"/>
      <c r="AR161" s="50"/>
      <c r="AS161" s="50"/>
      <c r="AT161" s="50"/>
      <c r="AU161" s="50"/>
      <c r="AV161" s="50"/>
      <c r="AW161" s="52"/>
      <c r="AX161" s="52"/>
      <c r="AY161" s="56" t="str">
        <f aca="false">IF(OR(AW161="",AX161=""),"",AW161*AX161)</f>
        <v/>
      </c>
      <c r="AZ161" s="52"/>
      <c r="BA161" s="56" t="str">
        <f aca="false">IF(AY161="","",IF(AZ161="",AY161,ROUNDUP(AY161/AZ161,0)))</f>
        <v/>
      </c>
      <c r="BB161" s="49" t="str">
        <f aca="false">IF(BA161="","",IF(BA161&gt;=15,"P1 – Critique",IF(BA161&gt;=8,"P2 – Élevée",IF(BA161&gt;=4,"P3 – Modérée","P4 – Faible"))))</f>
        <v/>
      </c>
      <c r="BC161" s="50"/>
      <c r="BD161" s="50"/>
      <c r="BE161" s="54"/>
      <c r="BF161" s="57"/>
      <c r="BG161" s="50"/>
      <c r="BH161" s="54"/>
      <c r="BI161" s="54"/>
      <c r="BJ161" s="50"/>
      <c r="BK161" s="50"/>
    </row>
    <row r="162" customFormat="false" ht="15" hidden="false" customHeight="false" outlineLevel="0" collapsed="false">
      <c r="A162" s="49" t="str">
        <f aca="false">IF(B162="","","PC-"&amp;TEXT(ROW()-2,"000"))</f>
        <v/>
      </c>
      <c r="B162" s="50"/>
      <c r="C162" s="50"/>
      <c r="D162" s="51"/>
      <c r="E162" s="51"/>
      <c r="F162" s="51"/>
      <c r="G162" s="50"/>
      <c r="H162" s="50"/>
      <c r="I162" s="50"/>
      <c r="J162" s="51"/>
      <c r="K162" s="50"/>
      <c r="L162" s="50"/>
      <c r="M162" s="50"/>
      <c r="N162" s="50"/>
      <c r="O162" s="52"/>
      <c r="P162" s="50"/>
      <c r="Q162" s="52"/>
      <c r="R162" s="52"/>
      <c r="S162" s="49" t="str">
        <f aca="false">IF(B162="","",IF(OR(O162="",R162=""),"—",IF(O162&lt;=R162,"⚠ RÉAPPRO","OK")))</f>
        <v/>
      </c>
      <c r="T162" s="50"/>
      <c r="U162" s="50"/>
      <c r="V162" s="50"/>
      <c r="W162" s="50"/>
      <c r="X162" s="50"/>
      <c r="Y162" s="53" t="str">
        <f aca="false">IF(B162="","",IF(X162="","—",IF(X162="Non classé","Non classé",IFERROR(INDEX(RefH_Classe,MATCH(TRIM(LEFT(X162,FIND(",",X162&amp;",")-1)),RefH_Code,0)),"Code H inconnu"))))</f>
        <v/>
      </c>
      <c r="Z162" s="50"/>
      <c r="AA162" s="50"/>
      <c r="AB162" s="51"/>
      <c r="AC162" s="51"/>
      <c r="AD162" s="51"/>
      <c r="AE162" s="51"/>
      <c r="AF162" s="50"/>
      <c r="AG162" s="51"/>
      <c r="AH162" s="54"/>
      <c r="AI162" s="51"/>
      <c r="AJ162" s="55" t="str">
        <f aca="false">IF(AH162="","",EDATE(AH162,60))</f>
        <v/>
      </c>
      <c r="AK162" s="49" t="str">
        <f aca="true">IF(B162="","",IF(OR(AG162="Non",AH162=""),"FDS ABSENTE",IF(TODAY()&gt;=EDATE(AH162,60),"EXPIRÉE",IF(TODAY()&gt;=EDATE(AH162,54),"À RENOUVELER","CONFORME"))))</f>
        <v/>
      </c>
      <c r="AL162" s="50"/>
      <c r="AM162" s="54"/>
      <c r="AN162" s="54"/>
      <c r="AO162" s="50"/>
      <c r="AP162" s="50"/>
      <c r="AQ162" s="50"/>
      <c r="AR162" s="50"/>
      <c r="AS162" s="50"/>
      <c r="AT162" s="50"/>
      <c r="AU162" s="50"/>
      <c r="AV162" s="50"/>
      <c r="AW162" s="52"/>
      <c r="AX162" s="52"/>
      <c r="AY162" s="56" t="str">
        <f aca="false">IF(OR(AW162="",AX162=""),"",AW162*AX162)</f>
        <v/>
      </c>
      <c r="AZ162" s="52"/>
      <c r="BA162" s="56" t="str">
        <f aca="false">IF(AY162="","",IF(AZ162="",AY162,ROUNDUP(AY162/AZ162,0)))</f>
        <v/>
      </c>
      <c r="BB162" s="49" t="str">
        <f aca="false">IF(BA162="","",IF(BA162&gt;=15,"P1 – Critique",IF(BA162&gt;=8,"P2 – Élevée",IF(BA162&gt;=4,"P3 – Modérée","P4 – Faible"))))</f>
        <v/>
      </c>
      <c r="BC162" s="50"/>
      <c r="BD162" s="50"/>
      <c r="BE162" s="54"/>
      <c r="BF162" s="57"/>
      <c r="BG162" s="50"/>
      <c r="BH162" s="54"/>
      <c r="BI162" s="54"/>
      <c r="BJ162" s="50"/>
      <c r="BK162" s="50"/>
    </row>
    <row r="163" customFormat="false" ht="15" hidden="false" customHeight="false" outlineLevel="0" collapsed="false">
      <c r="A163" s="49" t="str">
        <f aca="false">IF(B163="","","PC-"&amp;TEXT(ROW()-2,"000"))</f>
        <v/>
      </c>
      <c r="B163" s="50"/>
      <c r="C163" s="50"/>
      <c r="D163" s="51"/>
      <c r="E163" s="51"/>
      <c r="F163" s="51"/>
      <c r="G163" s="50"/>
      <c r="H163" s="50"/>
      <c r="I163" s="50"/>
      <c r="J163" s="51"/>
      <c r="K163" s="50"/>
      <c r="L163" s="50"/>
      <c r="M163" s="50"/>
      <c r="N163" s="50"/>
      <c r="O163" s="52"/>
      <c r="P163" s="50"/>
      <c r="Q163" s="52"/>
      <c r="R163" s="52"/>
      <c r="S163" s="49" t="str">
        <f aca="false">IF(B163="","",IF(OR(O163="",R163=""),"—",IF(O163&lt;=R163,"⚠ RÉAPPRO","OK")))</f>
        <v/>
      </c>
      <c r="T163" s="50"/>
      <c r="U163" s="50"/>
      <c r="V163" s="50"/>
      <c r="W163" s="50"/>
      <c r="X163" s="50"/>
      <c r="Y163" s="53" t="str">
        <f aca="false">IF(B163="","",IF(X163="","—",IF(X163="Non classé","Non classé",IFERROR(INDEX(RefH_Classe,MATCH(TRIM(LEFT(X163,FIND(",",X163&amp;",")-1)),RefH_Code,0)),"Code H inconnu"))))</f>
        <v/>
      </c>
      <c r="Z163" s="50"/>
      <c r="AA163" s="50"/>
      <c r="AB163" s="51"/>
      <c r="AC163" s="51"/>
      <c r="AD163" s="51"/>
      <c r="AE163" s="51"/>
      <c r="AF163" s="50"/>
      <c r="AG163" s="51"/>
      <c r="AH163" s="54"/>
      <c r="AI163" s="51"/>
      <c r="AJ163" s="55" t="str">
        <f aca="false">IF(AH163="","",EDATE(AH163,60))</f>
        <v/>
      </c>
      <c r="AK163" s="49" t="str">
        <f aca="true">IF(B163="","",IF(OR(AG163="Non",AH163=""),"FDS ABSENTE",IF(TODAY()&gt;=EDATE(AH163,60),"EXPIRÉE",IF(TODAY()&gt;=EDATE(AH163,54),"À RENOUVELER","CONFORME"))))</f>
        <v/>
      </c>
      <c r="AL163" s="50"/>
      <c r="AM163" s="54"/>
      <c r="AN163" s="54"/>
      <c r="AO163" s="50"/>
      <c r="AP163" s="50"/>
      <c r="AQ163" s="50"/>
      <c r="AR163" s="50"/>
      <c r="AS163" s="50"/>
      <c r="AT163" s="50"/>
      <c r="AU163" s="50"/>
      <c r="AV163" s="50"/>
      <c r="AW163" s="52"/>
      <c r="AX163" s="52"/>
      <c r="AY163" s="56" t="str">
        <f aca="false">IF(OR(AW163="",AX163=""),"",AW163*AX163)</f>
        <v/>
      </c>
      <c r="AZ163" s="52"/>
      <c r="BA163" s="56" t="str">
        <f aca="false">IF(AY163="","",IF(AZ163="",AY163,ROUNDUP(AY163/AZ163,0)))</f>
        <v/>
      </c>
      <c r="BB163" s="49" t="str">
        <f aca="false">IF(BA163="","",IF(BA163&gt;=15,"P1 – Critique",IF(BA163&gt;=8,"P2 – Élevée",IF(BA163&gt;=4,"P3 – Modérée","P4 – Faible"))))</f>
        <v/>
      </c>
      <c r="BC163" s="50"/>
      <c r="BD163" s="50"/>
      <c r="BE163" s="54"/>
      <c r="BF163" s="57"/>
      <c r="BG163" s="50"/>
      <c r="BH163" s="54"/>
      <c r="BI163" s="54"/>
      <c r="BJ163" s="50"/>
      <c r="BK163" s="50"/>
    </row>
    <row r="164" customFormat="false" ht="15" hidden="false" customHeight="false" outlineLevel="0" collapsed="false">
      <c r="A164" s="49" t="str">
        <f aca="false">IF(B164="","","PC-"&amp;TEXT(ROW()-2,"000"))</f>
        <v/>
      </c>
      <c r="B164" s="50"/>
      <c r="C164" s="50"/>
      <c r="D164" s="51"/>
      <c r="E164" s="51"/>
      <c r="F164" s="51"/>
      <c r="G164" s="50"/>
      <c r="H164" s="50"/>
      <c r="I164" s="50"/>
      <c r="J164" s="51"/>
      <c r="K164" s="50"/>
      <c r="L164" s="50"/>
      <c r="M164" s="50"/>
      <c r="N164" s="50"/>
      <c r="O164" s="52"/>
      <c r="P164" s="50"/>
      <c r="Q164" s="52"/>
      <c r="R164" s="52"/>
      <c r="S164" s="49" t="str">
        <f aca="false">IF(B164="","",IF(OR(O164="",R164=""),"—",IF(O164&lt;=R164,"⚠ RÉAPPRO","OK")))</f>
        <v/>
      </c>
      <c r="T164" s="50"/>
      <c r="U164" s="50"/>
      <c r="V164" s="50"/>
      <c r="W164" s="50"/>
      <c r="X164" s="50"/>
      <c r="Y164" s="53" t="str">
        <f aca="false">IF(B164="","",IF(X164="","—",IF(X164="Non classé","Non classé",IFERROR(INDEX(RefH_Classe,MATCH(TRIM(LEFT(X164,FIND(",",X164&amp;",")-1)),RefH_Code,0)),"Code H inconnu"))))</f>
        <v/>
      </c>
      <c r="Z164" s="50"/>
      <c r="AA164" s="50"/>
      <c r="AB164" s="51"/>
      <c r="AC164" s="51"/>
      <c r="AD164" s="51"/>
      <c r="AE164" s="51"/>
      <c r="AF164" s="50"/>
      <c r="AG164" s="51"/>
      <c r="AH164" s="54"/>
      <c r="AI164" s="51"/>
      <c r="AJ164" s="55" t="str">
        <f aca="false">IF(AH164="","",EDATE(AH164,60))</f>
        <v/>
      </c>
      <c r="AK164" s="49" t="str">
        <f aca="true">IF(B164="","",IF(OR(AG164="Non",AH164=""),"FDS ABSENTE",IF(TODAY()&gt;=EDATE(AH164,60),"EXPIRÉE",IF(TODAY()&gt;=EDATE(AH164,54),"À RENOUVELER","CONFORME"))))</f>
        <v/>
      </c>
      <c r="AL164" s="50"/>
      <c r="AM164" s="54"/>
      <c r="AN164" s="54"/>
      <c r="AO164" s="50"/>
      <c r="AP164" s="50"/>
      <c r="AQ164" s="50"/>
      <c r="AR164" s="50"/>
      <c r="AS164" s="50"/>
      <c r="AT164" s="50"/>
      <c r="AU164" s="50"/>
      <c r="AV164" s="50"/>
      <c r="AW164" s="52"/>
      <c r="AX164" s="52"/>
      <c r="AY164" s="56" t="str">
        <f aca="false">IF(OR(AW164="",AX164=""),"",AW164*AX164)</f>
        <v/>
      </c>
      <c r="AZ164" s="52"/>
      <c r="BA164" s="56" t="str">
        <f aca="false">IF(AY164="","",IF(AZ164="",AY164,ROUNDUP(AY164/AZ164,0)))</f>
        <v/>
      </c>
      <c r="BB164" s="49" t="str">
        <f aca="false">IF(BA164="","",IF(BA164&gt;=15,"P1 – Critique",IF(BA164&gt;=8,"P2 – Élevée",IF(BA164&gt;=4,"P3 – Modérée","P4 – Faible"))))</f>
        <v/>
      </c>
      <c r="BC164" s="50"/>
      <c r="BD164" s="50"/>
      <c r="BE164" s="54"/>
      <c r="BF164" s="57"/>
      <c r="BG164" s="50"/>
      <c r="BH164" s="54"/>
      <c r="BI164" s="54"/>
      <c r="BJ164" s="50"/>
      <c r="BK164" s="50"/>
    </row>
    <row r="165" customFormat="false" ht="15" hidden="false" customHeight="false" outlineLevel="0" collapsed="false">
      <c r="A165" s="49" t="str">
        <f aca="false">IF(B165="","","PC-"&amp;TEXT(ROW()-2,"000"))</f>
        <v/>
      </c>
      <c r="B165" s="50"/>
      <c r="C165" s="50"/>
      <c r="D165" s="51"/>
      <c r="E165" s="51"/>
      <c r="F165" s="51"/>
      <c r="G165" s="50"/>
      <c r="H165" s="50"/>
      <c r="I165" s="50"/>
      <c r="J165" s="51"/>
      <c r="K165" s="50"/>
      <c r="L165" s="50"/>
      <c r="M165" s="50"/>
      <c r="N165" s="50"/>
      <c r="O165" s="52"/>
      <c r="P165" s="50"/>
      <c r="Q165" s="52"/>
      <c r="R165" s="52"/>
      <c r="S165" s="49" t="str">
        <f aca="false">IF(B165="","",IF(OR(O165="",R165=""),"—",IF(O165&lt;=R165,"⚠ RÉAPPRO","OK")))</f>
        <v/>
      </c>
      <c r="T165" s="50"/>
      <c r="U165" s="50"/>
      <c r="V165" s="50"/>
      <c r="W165" s="50"/>
      <c r="X165" s="50"/>
      <c r="Y165" s="53" t="str">
        <f aca="false">IF(B165="","",IF(X165="","—",IF(X165="Non classé","Non classé",IFERROR(INDEX(RefH_Classe,MATCH(TRIM(LEFT(X165,FIND(",",X165&amp;",")-1)),RefH_Code,0)),"Code H inconnu"))))</f>
        <v/>
      </c>
      <c r="Z165" s="50"/>
      <c r="AA165" s="50"/>
      <c r="AB165" s="51"/>
      <c r="AC165" s="51"/>
      <c r="AD165" s="51"/>
      <c r="AE165" s="51"/>
      <c r="AF165" s="50"/>
      <c r="AG165" s="51"/>
      <c r="AH165" s="54"/>
      <c r="AI165" s="51"/>
      <c r="AJ165" s="55" t="str">
        <f aca="false">IF(AH165="","",EDATE(AH165,60))</f>
        <v/>
      </c>
      <c r="AK165" s="49" t="str">
        <f aca="true">IF(B165="","",IF(OR(AG165="Non",AH165=""),"FDS ABSENTE",IF(TODAY()&gt;=EDATE(AH165,60),"EXPIRÉE",IF(TODAY()&gt;=EDATE(AH165,54),"À RENOUVELER","CONFORME"))))</f>
        <v/>
      </c>
      <c r="AL165" s="50"/>
      <c r="AM165" s="54"/>
      <c r="AN165" s="54"/>
      <c r="AO165" s="50"/>
      <c r="AP165" s="50"/>
      <c r="AQ165" s="50"/>
      <c r="AR165" s="50"/>
      <c r="AS165" s="50"/>
      <c r="AT165" s="50"/>
      <c r="AU165" s="50"/>
      <c r="AV165" s="50"/>
      <c r="AW165" s="52"/>
      <c r="AX165" s="52"/>
      <c r="AY165" s="56" t="str">
        <f aca="false">IF(OR(AW165="",AX165=""),"",AW165*AX165)</f>
        <v/>
      </c>
      <c r="AZ165" s="52"/>
      <c r="BA165" s="56" t="str">
        <f aca="false">IF(AY165="","",IF(AZ165="",AY165,ROUNDUP(AY165/AZ165,0)))</f>
        <v/>
      </c>
      <c r="BB165" s="49" t="str">
        <f aca="false">IF(BA165="","",IF(BA165&gt;=15,"P1 – Critique",IF(BA165&gt;=8,"P2 – Élevée",IF(BA165&gt;=4,"P3 – Modérée","P4 – Faible"))))</f>
        <v/>
      </c>
      <c r="BC165" s="50"/>
      <c r="BD165" s="50"/>
      <c r="BE165" s="54"/>
      <c r="BF165" s="57"/>
      <c r="BG165" s="50"/>
      <c r="BH165" s="54"/>
      <c r="BI165" s="54"/>
      <c r="BJ165" s="50"/>
      <c r="BK165" s="50"/>
    </row>
    <row r="166" customFormat="false" ht="15" hidden="false" customHeight="false" outlineLevel="0" collapsed="false">
      <c r="A166" s="49" t="str">
        <f aca="false">IF(B166="","","PC-"&amp;TEXT(ROW()-2,"000"))</f>
        <v/>
      </c>
      <c r="B166" s="50"/>
      <c r="C166" s="50"/>
      <c r="D166" s="51"/>
      <c r="E166" s="51"/>
      <c r="F166" s="51"/>
      <c r="G166" s="50"/>
      <c r="H166" s="50"/>
      <c r="I166" s="50"/>
      <c r="J166" s="51"/>
      <c r="K166" s="50"/>
      <c r="L166" s="50"/>
      <c r="M166" s="50"/>
      <c r="N166" s="50"/>
      <c r="O166" s="52"/>
      <c r="P166" s="50"/>
      <c r="Q166" s="52"/>
      <c r="R166" s="52"/>
      <c r="S166" s="49" t="str">
        <f aca="false">IF(B166="","",IF(OR(O166="",R166=""),"—",IF(O166&lt;=R166,"⚠ RÉAPPRO","OK")))</f>
        <v/>
      </c>
      <c r="T166" s="50"/>
      <c r="U166" s="50"/>
      <c r="V166" s="50"/>
      <c r="W166" s="50"/>
      <c r="X166" s="50"/>
      <c r="Y166" s="53" t="str">
        <f aca="false">IF(B166="","",IF(X166="","—",IF(X166="Non classé","Non classé",IFERROR(INDEX(RefH_Classe,MATCH(TRIM(LEFT(X166,FIND(",",X166&amp;",")-1)),RefH_Code,0)),"Code H inconnu"))))</f>
        <v/>
      </c>
      <c r="Z166" s="50"/>
      <c r="AA166" s="50"/>
      <c r="AB166" s="51"/>
      <c r="AC166" s="51"/>
      <c r="AD166" s="51"/>
      <c r="AE166" s="51"/>
      <c r="AF166" s="50"/>
      <c r="AG166" s="51"/>
      <c r="AH166" s="54"/>
      <c r="AI166" s="51"/>
      <c r="AJ166" s="55" t="str">
        <f aca="false">IF(AH166="","",EDATE(AH166,60))</f>
        <v/>
      </c>
      <c r="AK166" s="49" t="str">
        <f aca="true">IF(B166="","",IF(OR(AG166="Non",AH166=""),"FDS ABSENTE",IF(TODAY()&gt;=EDATE(AH166,60),"EXPIRÉE",IF(TODAY()&gt;=EDATE(AH166,54),"À RENOUVELER","CONFORME"))))</f>
        <v/>
      </c>
      <c r="AL166" s="50"/>
      <c r="AM166" s="54"/>
      <c r="AN166" s="54"/>
      <c r="AO166" s="50"/>
      <c r="AP166" s="50"/>
      <c r="AQ166" s="50"/>
      <c r="AR166" s="50"/>
      <c r="AS166" s="50"/>
      <c r="AT166" s="50"/>
      <c r="AU166" s="50"/>
      <c r="AV166" s="50"/>
      <c r="AW166" s="52"/>
      <c r="AX166" s="52"/>
      <c r="AY166" s="56" t="str">
        <f aca="false">IF(OR(AW166="",AX166=""),"",AW166*AX166)</f>
        <v/>
      </c>
      <c r="AZ166" s="52"/>
      <c r="BA166" s="56" t="str">
        <f aca="false">IF(AY166="","",IF(AZ166="",AY166,ROUNDUP(AY166/AZ166,0)))</f>
        <v/>
      </c>
      <c r="BB166" s="49" t="str">
        <f aca="false">IF(BA166="","",IF(BA166&gt;=15,"P1 – Critique",IF(BA166&gt;=8,"P2 – Élevée",IF(BA166&gt;=4,"P3 – Modérée","P4 – Faible"))))</f>
        <v/>
      </c>
      <c r="BC166" s="50"/>
      <c r="BD166" s="50"/>
      <c r="BE166" s="54"/>
      <c r="BF166" s="57"/>
      <c r="BG166" s="50"/>
      <c r="BH166" s="54"/>
      <c r="BI166" s="54"/>
      <c r="BJ166" s="50"/>
      <c r="BK166" s="50"/>
    </row>
    <row r="167" customFormat="false" ht="15" hidden="false" customHeight="false" outlineLevel="0" collapsed="false">
      <c r="A167" s="49" t="str">
        <f aca="false">IF(B167="","","PC-"&amp;TEXT(ROW()-2,"000"))</f>
        <v/>
      </c>
      <c r="B167" s="50"/>
      <c r="C167" s="50"/>
      <c r="D167" s="51"/>
      <c r="E167" s="51"/>
      <c r="F167" s="51"/>
      <c r="G167" s="50"/>
      <c r="H167" s="50"/>
      <c r="I167" s="50"/>
      <c r="J167" s="51"/>
      <c r="K167" s="50"/>
      <c r="L167" s="50"/>
      <c r="M167" s="50"/>
      <c r="N167" s="50"/>
      <c r="O167" s="52"/>
      <c r="P167" s="50"/>
      <c r="Q167" s="52"/>
      <c r="R167" s="52"/>
      <c r="S167" s="49" t="str">
        <f aca="false">IF(B167="","",IF(OR(O167="",R167=""),"—",IF(O167&lt;=R167,"⚠ RÉAPPRO","OK")))</f>
        <v/>
      </c>
      <c r="T167" s="50"/>
      <c r="U167" s="50"/>
      <c r="V167" s="50"/>
      <c r="W167" s="50"/>
      <c r="X167" s="50"/>
      <c r="Y167" s="53" t="str">
        <f aca="false">IF(B167="","",IF(X167="","—",IF(X167="Non classé","Non classé",IFERROR(INDEX(RefH_Classe,MATCH(TRIM(LEFT(X167,FIND(",",X167&amp;",")-1)),RefH_Code,0)),"Code H inconnu"))))</f>
        <v/>
      </c>
      <c r="Z167" s="50"/>
      <c r="AA167" s="50"/>
      <c r="AB167" s="51"/>
      <c r="AC167" s="51"/>
      <c r="AD167" s="51"/>
      <c r="AE167" s="51"/>
      <c r="AF167" s="50"/>
      <c r="AG167" s="51"/>
      <c r="AH167" s="54"/>
      <c r="AI167" s="51"/>
      <c r="AJ167" s="55" t="str">
        <f aca="false">IF(AH167="","",EDATE(AH167,60))</f>
        <v/>
      </c>
      <c r="AK167" s="49" t="str">
        <f aca="true">IF(B167="","",IF(OR(AG167="Non",AH167=""),"FDS ABSENTE",IF(TODAY()&gt;=EDATE(AH167,60),"EXPIRÉE",IF(TODAY()&gt;=EDATE(AH167,54),"À RENOUVELER","CONFORME"))))</f>
        <v/>
      </c>
      <c r="AL167" s="50"/>
      <c r="AM167" s="54"/>
      <c r="AN167" s="54"/>
      <c r="AO167" s="50"/>
      <c r="AP167" s="50"/>
      <c r="AQ167" s="50"/>
      <c r="AR167" s="50"/>
      <c r="AS167" s="50"/>
      <c r="AT167" s="50"/>
      <c r="AU167" s="50"/>
      <c r="AV167" s="50"/>
      <c r="AW167" s="52"/>
      <c r="AX167" s="52"/>
      <c r="AY167" s="56" t="str">
        <f aca="false">IF(OR(AW167="",AX167=""),"",AW167*AX167)</f>
        <v/>
      </c>
      <c r="AZ167" s="52"/>
      <c r="BA167" s="56" t="str">
        <f aca="false">IF(AY167="","",IF(AZ167="",AY167,ROUNDUP(AY167/AZ167,0)))</f>
        <v/>
      </c>
      <c r="BB167" s="49" t="str">
        <f aca="false">IF(BA167="","",IF(BA167&gt;=15,"P1 – Critique",IF(BA167&gt;=8,"P2 – Élevée",IF(BA167&gt;=4,"P3 – Modérée","P4 – Faible"))))</f>
        <v/>
      </c>
      <c r="BC167" s="50"/>
      <c r="BD167" s="50"/>
      <c r="BE167" s="54"/>
      <c r="BF167" s="57"/>
      <c r="BG167" s="50"/>
      <c r="BH167" s="54"/>
      <c r="BI167" s="54"/>
      <c r="BJ167" s="50"/>
      <c r="BK167" s="50"/>
    </row>
    <row r="168" customFormat="false" ht="15" hidden="false" customHeight="false" outlineLevel="0" collapsed="false">
      <c r="A168" s="49" t="str">
        <f aca="false">IF(B168="","","PC-"&amp;TEXT(ROW()-2,"000"))</f>
        <v/>
      </c>
      <c r="B168" s="50"/>
      <c r="C168" s="50"/>
      <c r="D168" s="51"/>
      <c r="E168" s="51"/>
      <c r="F168" s="51"/>
      <c r="G168" s="50"/>
      <c r="H168" s="50"/>
      <c r="I168" s="50"/>
      <c r="J168" s="51"/>
      <c r="K168" s="50"/>
      <c r="L168" s="50"/>
      <c r="M168" s="50"/>
      <c r="N168" s="50"/>
      <c r="O168" s="52"/>
      <c r="P168" s="50"/>
      <c r="Q168" s="52"/>
      <c r="R168" s="52"/>
      <c r="S168" s="49" t="str">
        <f aca="false">IF(B168="","",IF(OR(O168="",R168=""),"—",IF(O168&lt;=R168,"⚠ RÉAPPRO","OK")))</f>
        <v/>
      </c>
      <c r="T168" s="50"/>
      <c r="U168" s="50"/>
      <c r="V168" s="50"/>
      <c r="W168" s="50"/>
      <c r="X168" s="50"/>
      <c r="Y168" s="53" t="str">
        <f aca="false">IF(B168="","",IF(X168="","—",IF(X168="Non classé","Non classé",IFERROR(INDEX(RefH_Classe,MATCH(TRIM(LEFT(X168,FIND(",",X168&amp;",")-1)),RefH_Code,0)),"Code H inconnu"))))</f>
        <v/>
      </c>
      <c r="Z168" s="50"/>
      <c r="AA168" s="50"/>
      <c r="AB168" s="51"/>
      <c r="AC168" s="51"/>
      <c r="AD168" s="51"/>
      <c r="AE168" s="51"/>
      <c r="AF168" s="50"/>
      <c r="AG168" s="51"/>
      <c r="AH168" s="54"/>
      <c r="AI168" s="51"/>
      <c r="AJ168" s="55" t="str">
        <f aca="false">IF(AH168="","",EDATE(AH168,60))</f>
        <v/>
      </c>
      <c r="AK168" s="49" t="str">
        <f aca="true">IF(B168="","",IF(OR(AG168="Non",AH168=""),"FDS ABSENTE",IF(TODAY()&gt;=EDATE(AH168,60),"EXPIRÉE",IF(TODAY()&gt;=EDATE(AH168,54),"À RENOUVELER","CONFORME"))))</f>
        <v/>
      </c>
      <c r="AL168" s="50"/>
      <c r="AM168" s="54"/>
      <c r="AN168" s="54"/>
      <c r="AO168" s="50"/>
      <c r="AP168" s="50"/>
      <c r="AQ168" s="50"/>
      <c r="AR168" s="50"/>
      <c r="AS168" s="50"/>
      <c r="AT168" s="50"/>
      <c r="AU168" s="50"/>
      <c r="AV168" s="50"/>
      <c r="AW168" s="52"/>
      <c r="AX168" s="52"/>
      <c r="AY168" s="56" t="str">
        <f aca="false">IF(OR(AW168="",AX168=""),"",AW168*AX168)</f>
        <v/>
      </c>
      <c r="AZ168" s="52"/>
      <c r="BA168" s="56" t="str">
        <f aca="false">IF(AY168="","",IF(AZ168="",AY168,ROUNDUP(AY168/AZ168,0)))</f>
        <v/>
      </c>
      <c r="BB168" s="49" t="str">
        <f aca="false">IF(BA168="","",IF(BA168&gt;=15,"P1 – Critique",IF(BA168&gt;=8,"P2 – Élevée",IF(BA168&gt;=4,"P3 – Modérée","P4 – Faible"))))</f>
        <v/>
      </c>
      <c r="BC168" s="50"/>
      <c r="BD168" s="50"/>
      <c r="BE168" s="54"/>
      <c r="BF168" s="57"/>
      <c r="BG168" s="50"/>
      <c r="BH168" s="54"/>
      <c r="BI168" s="54"/>
      <c r="BJ168" s="50"/>
      <c r="BK168" s="50"/>
    </row>
    <row r="169" customFormat="false" ht="15" hidden="false" customHeight="false" outlineLevel="0" collapsed="false">
      <c r="A169" s="49" t="str">
        <f aca="false">IF(B169="","","PC-"&amp;TEXT(ROW()-2,"000"))</f>
        <v/>
      </c>
      <c r="B169" s="50"/>
      <c r="C169" s="50"/>
      <c r="D169" s="51"/>
      <c r="E169" s="51"/>
      <c r="F169" s="51"/>
      <c r="G169" s="50"/>
      <c r="H169" s="50"/>
      <c r="I169" s="50"/>
      <c r="J169" s="51"/>
      <c r="K169" s="50"/>
      <c r="L169" s="50"/>
      <c r="M169" s="50"/>
      <c r="N169" s="50"/>
      <c r="O169" s="52"/>
      <c r="P169" s="50"/>
      <c r="Q169" s="52"/>
      <c r="R169" s="52"/>
      <c r="S169" s="49" t="str">
        <f aca="false">IF(B169="","",IF(OR(O169="",R169=""),"—",IF(O169&lt;=R169,"⚠ RÉAPPRO","OK")))</f>
        <v/>
      </c>
      <c r="T169" s="50"/>
      <c r="U169" s="50"/>
      <c r="V169" s="50"/>
      <c r="W169" s="50"/>
      <c r="X169" s="50"/>
      <c r="Y169" s="53" t="str">
        <f aca="false">IF(B169="","",IF(X169="","—",IF(X169="Non classé","Non classé",IFERROR(INDEX(RefH_Classe,MATCH(TRIM(LEFT(X169,FIND(",",X169&amp;",")-1)),RefH_Code,0)),"Code H inconnu"))))</f>
        <v/>
      </c>
      <c r="Z169" s="50"/>
      <c r="AA169" s="50"/>
      <c r="AB169" s="51"/>
      <c r="AC169" s="51"/>
      <c r="AD169" s="51"/>
      <c r="AE169" s="51"/>
      <c r="AF169" s="50"/>
      <c r="AG169" s="51"/>
      <c r="AH169" s="54"/>
      <c r="AI169" s="51"/>
      <c r="AJ169" s="55" t="str">
        <f aca="false">IF(AH169="","",EDATE(AH169,60))</f>
        <v/>
      </c>
      <c r="AK169" s="49" t="str">
        <f aca="true">IF(B169="","",IF(OR(AG169="Non",AH169=""),"FDS ABSENTE",IF(TODAY()&gt;=EDATE(AH169,60),"EXPIRÉE",IF(TODAY()&gt;=EDATE(AH169,54),"À RENOUVELER","CONFORME"))))</f>
        <v/>
      </c>
      <c r="AL169" s="50"/>
      <c r="AM169" s="54"/>
      <c r="AN169" s="54"/>
      <c r="AO169" s="50"/>
      <c r="AP169" s="50"/>
      <c r="AQ169" s="50"/>
      <c r="AR169" s="50"/>
      <c r="AS169" s="50"/>
      <c r="AT169" s="50"/>
      <c r="AU169" s="50"/>
      <c r="AV169" s="50"/>
      <c r="AW169" s="52"/>
      <c r="AX169" s="52"/>
      <c r="AY169" s="56" t="str">
        <f aca="false">IF(OR(AW169="",AX169=""),"",AW169*AX169)</f>
        <v/>
      </c>
      <c r="AZ169" s="52"/>
      <c r="BA169" s="56" t="str">
        <f aca="false">IF(AY169="","",IF(AZ169="",AY169,ROUNDUP(AY169/AZ169,0)))</f>
        <v/>
      </c>
      <c r="BB169" s="49" t="str">
        <f aca="false">IF(BA169="","",IF(BA169&gt;=15,"P1 – Critique",IF(BA169&gt;=8,"P2 – Élevée",IF(BA169&gt;=4,"P3 – Modérée","P4 – Faible"))))</f>
        <v/>
      </c>
      <c r="BC169" s="50"/>
      <c r="BD169" s="50"/>
      <c r="BE169" s="54"/>
      <c r="BF169" s="57"/>
      <c r="BG169" s="50"/>
      <c r="BH169" s="54"/>
      <c r="BI169" s="54"/>
      <c r="BJ169" s="50"/>
      <c r="BK169" s="50"/>
    </row>
    <row r="170" customFormat="false" ht="15" hidden="false" customHeight="false" outlineLevel="0" collapsed="false">
      <c r="A170" s="49" t="str">
        <f aca="false">IF(B170="","","PC-"&amp;TEXT(ROW()-2,"000"))</f>
        <v/>
      </c>
      <c r="B170" s="50"/>
      <c r="C170" s="50"/>
      <c r="D170" s="51"/>
      <c r="E170" s="51"/>
      <c r="F170" s="51"/>
      <c r="G170" s="50"/>
      <c r="H170" s="50"/>
      <c r="I170" s="50"/>
      <c r="J170" s="51"/>
      <c r="K170" s="50"/>
      <c r="L170" s="50"/>
      <c r="M170" s="50"/>
      <c r="N170" s="50"/>
      <c r="O170" s="52"/>
      <c r="P170" s="50"/>
      <c r="Q170" s="52"/>
      <c r="R170" s="52"/>
      <c r="S170" s="49" t="str">
        <f aca="false">IF(B170="","",IF(OR(O170="",R170=""),"—",IF(O170&lt;=R170,"⚠ RÉAPPRO","OK")))</f>
        <v/>
      </c>
      <c r="T170" s="50"/>
      <c r="U170" s="50"/>
      <c r="V170" s="50"/>
      <c r="W170" s="50"/>
      <c r="X170" s="50"/>
      <c r="Y170" s="53" t="str">
        <f aca="false">IF(B170="","",IF(X170="","—",IF(X170="Non classé","Non classé",IFERROR(INDEX(RefH_Classe,MATCH(TRIM(LEFT(X170,FIND(",",X170&amp;",")-1)),RefH_Code,0)),"Code H inconnu"))))</f>
        <v/>
      </c>
      <c r="Z170" s="50"/>
      <c r="AA170" s="50"/>
      <c r="AB170" s="51"/>
      <c r="AC170" s="51"/>
      <c r="AD170" s="51"/>
      <c r="AE170" s="51"/>
      <c r="AF170" s="50"/>
      <c r="AG170" s="51"/>
      <c r="AH170" s="54"/>
      <c r="AI170" s="51"/>
      <c r="AJ170" s="55" t="str">
        <f aca="false">IF(AH170="","",EDATE(AH170,60))</f>
        <v/>
      </c>
      <c r="AK170" s="49" t="str">
        <f aca="true">IF(B170="","",IF(OR(AG170="Non",AH170=""),"FDS ABSENTE",IF(TODAY()&gt;=EDATE(AH170,60),"EXPIRÉE",IF(TODAY()&gt;=EDATE(AH170,54),"À RENOUVELER","CONFORME"))))</f>
        <v/>
      </c>
      <c r="AL170" s="50"/>
      <c r="AM170" s="54"/>
      <c r="AN170" s="54"/>
      <c r="AO170" s="50"/>
      <c r="AP170" s="50"/>
      <c r="AQ170" s="50"/>
      <c r="AR170" s="50"/>
      <c r="AS170" s="50"/>
      <c r="AT170" s="50"/>
      <c r="AU170" s="50"/>
      <c r="AV170" s="50"/>
      <c r="AW170" s="52"/>
      <c r="AX170" s="52"/>
      <c r="AY170" s="56" t="str">
        <f aca="false">IF(OR(AW170="",AX170=""),"",AW170*AX170)</f>
        <v/>
      </c>
      <c r="AZ170" s="52"/>
      <c r="BA170" s="56" t="str">
        <f aca="false">IF(AY170="","",IF(AZ170="",AY170,ROUNDUP(AY170/AZ170,0)))</f>
        <v/>
      </c>
      <c r="BB170" s="49" t="str">
        <f aca="false">IF(BA170="","",IF(BA170&gt;=15,"P1 – Critique",IF(BA170&gt;=8,"P2 – Élevée",IF(BA170&gt;=4,"P3 – Modérée","P4 – Faible"))))</f>
        <v/>
      </c>
      <c r="BC170" s="50"/>
      <c r="BD170" s="50"/>
      <c r="BE170" s="54"/>
      <c r="BF170" s="57"/>
      <c r="BG170" s="50"/>
      <c r="BH170" s="54"/>
      <c r="BI170" s="54"/>
      <c r="BJ170" s="50"/>
      <c r="BK170" s="50"/>
    </row>
    <row r="171" customFormat="false" ht="15" hidden="false" customHeight="false" outlineLevel="0" collapsed="false">
      <c r="A171" s="49" t="str">
        <f aca="false">IF(B171="","","PC-"&amp;TEXT(ROW()-2,"000"))</f>
        <v/>
      </c>
      <c r="B171" s="50"/>
      <c r="C171" s="50"/>
      <c r="D171" s="51"/>
      <c r="E171" s="51"/>
      <c r="F171" s="51"/>
      <c r="G171" s="50"/>
      <c r="H171" s="50"/>
      <c r="I171" s="50"/>
      <c r="J171" s="51"/>
      <c r="K171" s="50"/>
      <c r="L171" s="50"/>
      <c r="M171" s="50"/>
      <c r="N171" s="50"/>
      <c r="O171" s="52"/>
      <c r="P171" s="50"/>
      <c r="Q171" s="52"/>
      <c r="R171" s="52"/>
      <c r="S171" s="49" t="str">
        <f aca="false">IF(B171="","",IF(OR(O171="",R171=""),"—",IF(O171&lt;=R171,"⚠ RÉAPPRO","OK")))</f>
        <v/>
      </c>
      <c r="T171" s="50"/>
      <c r="U171" s="50"/>
      <c r="V171" s="50"/>
      <c r="W171" s="50"/>
      <c r="X171" s="50"/>
      <c r="Y171" s="53" t="str">
        <f aca="false">IF(B171="","",IF(X171="","—",IF(X171="Non classé","Non classé",IFERROR(INDEX(RefH_Classe,MATCH(TRIM(LEFT(X171,FIND(",",X171&amp;",")-1)),RefH_Code,0)),"Code H inconnu"))))</f>
        <v/>
      </c>
      <c r="Z171" s="50"/>
      <c r="AA171" s="50"/>
      <c r="AB171" s="51"/>
      <c r="AC171" s="51"/>
      <c r="AD171" s="51"/>
      <c r="AE171" s="51"/>
      <c r="AF171" s="50"/>
      <c r="AG171" s="51"/>
      <c r="AH171" s="54"/>
      <c r="AI171" s="51"/>
      <c r="AJ171" s="55" t="str">
        <f aca="false">IF(AH171="","",EDATE(AH171,60))</f>
        <v/>
      </c>
      <c r="AK171" s="49" t="str">
        <f aca="true">IF(B171="","",IF(OR(AG171="Non",AH171=""),"FDS ABSENTE",IF(TODAY()&gt;=EDATE(AH171,60),"EXPIRÉE",IF(TODAY()&gt;=EDATE(AH171,54),"À RENOUVELER","CONFORME"))))</f>
        <v/>
      </c>
      <c r="AL171" s="50"/>
      <c r="AM171" s="54"/>
      <c r="AN171" s="54"/>
      <c r="AO171" s="50"/>
      <c r="AP171" s="50"/>
      <c r="AQ171" s="50"/>
      <c r="AR171" s="50"/>
      <c r="AS171" s="50"/>
      <c r="AT171" s="50"/>
      <c r="AU171" s="50"/>
      <c r="AV171" s="50"/>
      <c r="AW171" s="52"/>
      <c r="AX171" s="52"/>
      <c r="AY171" s="56" t="str">
        <f aca="false">IF(OR(AW171="",AX171=""),"",AW171*AX171)</f>
        <v/>
      </c>
      <c r="AZ171" s="52"/>
      <c r="BA171" s="56" t="str">
        <f aca="false">IF(AY171="","",IF(AZ171="",AY171,ROUNDUP(AY171/AZ171,0)))</f>
        <v/>
      </c>
      <c r="BB171" s="49" t="str">
        <f aca="false">IF(BA171="","",IF(BA171&gt;=15,"P1 – Critique",IF(BA171&gt;=8,"P2 – Élevée",IF(BA171&gt;=4,"P3 – Modérée","P4 – Faible"))))</f>
        <v/>
      </c>
      <c r="BC171" s="50"/>
      <c r="BD171" s="50"/>
      <c r="BE171" s="54"/>
      <c r="BF171" s="57"/>
      <c r="BG171" s="50"/>
      <c r="BH171" s="54"/>
      <c r="BI171" s="54"/>
      <c r="BJ171" s="50"/>
      <c r="BK171" s="50"/>
    </row>
    <row r="172" customFormat="false" ht="15" hidden="false" customHeight="false" outlineLevel="0" collapsed="false">
      <c r="A172" s="49" t="str">
        <f aca="false">IF(B172="","","PC-"&amp;TEXT(ROW()-2,"000"))</f>
        <v/>
      </c>
      <c r="B172" s="50"/>
      <c r="C172" s="50"/>
      <c r="D172" s="51"/>
      <c r="E172" s="51"/>
      <c r="F172" s="51"/>
      <c r="G172" s="50"/>
      <c r="H172" s="50"/>
      <c r="I172" s="50"/>
      <c r="J172" s="51"/>
      <c r="K172" s="50"/>
      <c r="L172" s="50"/>
      <c r="M172" s="50"/>
      <c r="N172" s="50"/>
      <c r="O172" s="52"/>
      <c r="P172" s="50"/>
      <c r="Q172" s="52"/>
      <c r="R172" s="52"/>
      <c r="S172" s="49" t="str">
        <f aca="false">IF(B172="","",IF(OR(O172="",R172=""),"—",IF(O172&lt;=R172,"⚠ RÉAPPRO","OK")))</f>
        <v/>
      </c>
      <c r="T172" s="50"/>
      <c r="U172" s="50"/>
      <c r="V172" s="50"/>
      <c r="W172" s="50"/>
      <c r="X172" s="50"/>
      <c r="Y172" s="53" t="str">
        <f aca="false">IF(B172="","",IF(X172="","—",IF(X172="Non classé","Non classé",IFERROR(INDEX(RefH_Classe,MATCH(TRIM(LEFT(X172,FIND(",",X172&amp;",")-1)),RefH_Code,0)),"Code H inconnu"))))</f>
        <v/>
      </c>
      <c r="Z172" s="50"/>
      <c r="AA172" s="50"/>
      <c r="AB172" s="51"/>
      <c r="AC172" s="51"/>
      <c r="AD172" s="51"/>
      <c r="AE172" s="51"/>
      <c r="AF172" s="50"/>
      <c r="AG172" s="51"/>
      <c r="AH172" s="54"/>
      <c r="AI172" s="51"/>
      <c r="AJ172" s="55" t="str">
        <f aca="false">IF(AH172="","",EDATE(AH172,60))</f>
        <v/>
      </c>
      <c r="AK172" s="49" t="str">
        <f aca="true">IF(B172="","",IF(OR(AG172="Non",AH172=""),"FDS ABSENTE",IF(TODAY()&gt;=EDATE(AH172,60),"EXPIRÉE",IF(TODAY()&gt;=EDATE(AH172,54),"À RENOUVELER","CONFORME"))))</f>
        <v/>
      </c>
      <c r="AL172" s="50"/>
      <c r="AM172" s="54"/>
      <c r="AN172" s="54"/>
      <c r="AO172" s="50"/>
      <c r="AP172" s="50"/>
      <c r="AQ172" s="50"/>
      <c r="AR172" s="50"/>
      <c r="AS172" s="50"/>
      <c r="AT172" s="50"/>
      <c r="AU172" s="50"/>
      <c r="AV172" s="50"/>
      <c r="AW172" s="52"/>
      <c r="AX172" s="52"/>
      <c r="AY172" s="56" t="str">
        <f aca="false">IF(OR(AW172="",AX172=""),"",AW172*AX172)</f>
        <v/>
      </c>
      <c r="AZ172" s="52"/>
      <c r="BA172" s="56" t="str">
        <f aca="false">IF(AY172="","",IF(AZ172="",AY172,ROUNDUP(AY172/AZ172,0)))</f>
        <v/>
      </c>
      <c r="BB172" s="49" t="str">
        <f aca="false">IF(BA172="","",IF(BA172&gt;=15,"P1 – Critique",IF(BA172&gt;=8,"P2 – Élevée",IF(BA172&gt;=4,"P3 – Modérée","P4 – Faible"))))</f>
        <v/>
      </c>
      <c r="BC172" s="50"/>
      <c r="BD172" s="50"/>
      <c r="BE172" s="54"/>
      <c r="BF172" s="57"/>
      <c r="BG172" s="50"/>
      <c r="BH172" s="54"/>
      <c r="BI172" s="54"/>
      <c r="BJ172" s="50"/>
      <c r="BK172" s="50"/>
    </row>
    <row r="173" customFormat="false" ht="15" hidden="false" customHeight="false" outlineLevel="0" collapsed="false">
      <c r="A173" s="49" t="str">
        <f aca="false">IF(B173="","","PC-"&amp;TEXT(ROW()-2,"000"))</f>
        <v/>
      </c>
      <c r="B173" s="50"/>
      <c r="C173" s="50"/>
      <c r="D173" s="51"/>
      <c r="E173" s="51"/>
      <c r="F173" s="51"/>
      <c r="G173" s="50"/>
      <c r="H173" s="50"/>
      <c r="I173" s="50"/>
      <c r="J173" s="51"/>
      <c r="K173" s="50"/>
      <c r="L173" s="50"/>
      <c r="M173" s="50"/>
      <c r="N173" s="50"/>
      <c r="O173" s="52"/>
      <c r="P173" s="50"/>
      <c r="Q173" s="52"/>
      <c r="R173" s="52"/>
      <c r="S173" s="49" t="str">
        <f aca="false">IF(B173="","",IF(OR(O173="",R173=""),"—",IF(O173&lt;=R173,"⚠ RÉAPPRO","OK")))</f>
        <v/>
      </c>
      <c r="T173" s="50"/>
      <c r="U173" s="50"/>
      <c r="V173" s="50"/>
      <c r="W173" s="50"/>
      <c r="X173" s="50"/>
      <c r="Y173" s="53" t="str">
        <f aca="false">IF(B173="","",IF(X173="","—",IF(X173="Non classé","Non classé",IFERROR(INDEX(RefH_Classe,MATCH(TRIM(LEFT(X173,FIND(",",X173&amp;",")-1)),RefH_Code,0)),"Code H inconnu"))))</f>
        <v/>
      </c>
      <c r="Z173" s="50"/>
      <c r="AA173" s="50"/>
      <c r="AB173" s="51"/>
      <c r="AC173" s="51"/>
      <c r="AD173" s="51"/>
      <c r="AE173" s="51"/>
      <c r="AF173" s="50"/>
      <c r="AG173" s="51"/>
      <c r="AH173" s="54"/>
      <c r="AI173" s="51"/>
      <c r="AJ173" s="55" t="str">
        <f aca="false">IF(AH173="","",EDATE(AH173,60))</f>
        <v/>
      </c>
      <c r="AK173" s="49" t="str">
        <f aca="true">IF(B173="","",IF(OR(AG173="Non",AH173=""),"FDS ABSENTE",IF(TODAY()&gt;=EDATE(AH173,60),"EXPIRÉE",IF(TODAY()&gt;=EDATE(AH173,54),"À RENOUVELER","CONFORME"))))</f>
        <v/>
      </c>
      <c r="AL173" s="50"/>
      <c r="AM173" s="54"/>
      <c r="AN173" s="54"/>
      <c r="AO173" s="50"/>
      <c r="AP173" s="50"/>
      <c r="AQ173" s="50"/>
      <c r="AR173" s="50"/>
      <c r="AS173" s="50"/>
      <c r="AT173" s="50"/>
      <c r="AU173" s="50"/>
      <c r="AV173" s="50"/>
      <c r="AW173" s="52"/>
      <c r="AX173" s="52"/>
      <c r="AY173" s="56" t="str">
        <f aca="false">IF(OR(AW173="",AX173=""),"",AW173*AX173)</f>
        <v/>
      </c>
      <c r="AZ173" s="52"/>
      <c r="BA173" s="56" t="str">
        <f aca="false">IF(AY173="","",IF(AZ173="",AY173,ROUNDUP(AY173/AZ173,0)))</f>
        <v/>
      </c>
      <c r="BB173" s="49" t="str">
        <f aca="false">IF(BA173="","",IF(BA173&gt;=15,"P1 – Critique",IF(BA173&gt;=8,"P2 – Élevée",IF(BA173&gt;=4,"P3 – Modérée","P4 – Faible"))))</f>
        <v/>
      </c>
      <c r="BC173" s="50"/>
      <c r="BD173" s="50"/>
      <c r="BE173" s="54"/>
      <c r="BF173" s="57"/>
      <c r="BG173" s="50"/>
      <c r="BH173" s="54"/>
      <c r="BI173" s="54"/>
      <c r="BJ173" s="50"/>
      <c r="BK173" s="50"/>
    </row>
    <row r="174" customFormat="false" ht="15" hidden="false" customHeight="false" outlineLevel="0" collapsed="false">
      <c r="A174" s="49" t="str">
        <f aca="false">IF(B174="","","PC-"&amp;TEXT(ROW()-2,"000"))</f>
        <v/>
      </c>
      <c r="B174" s="50"/>
      <c r="C174" s="50"/>
      <c r="D174" s="51"/>
      <c r="E174" s="51"/>
      <c r="F174" s="51"/>
      <c r="G174" s="50"/>
      <c r="H174" s="50"/>
      <c r="I174" s="50"/>
      <c r="J174" s="51"/>
      <c r="K174" s="50"/>
      <c r="L174" s="50"/>
      <c r="M174" s="50"/>
      <c r="N174" s="50"/>
      <c r="O174" s="52"/>
      <c r="P174" s="50"/>
      <c r="Q174" s="52"/>
      <c r="R174" s="52"/>
      <c r="S174" s="49" t="str">
        <f aca="false">IF(B174="","",IF(OR(O174="",R174=""),"—",IF(O174&lt;=R174,"⚠ RÉAPPRO","OK")))</f>
        <v/>
      </c>
      <c r="T174" s="50"/>
      <c r="U174" s="50"/>
      <c r="V174" s="50"/>
      <c r="W174" s="50"/>
      <c r="X174" s="50"/>
      <c r="Y174" s="53" t="str">
        <f aca="false">IF(B174="","",IF(X174="","—",IF(X174="Non classé","Non classé",IFERROR(INDEX(RefH_Classe,MATCH(TRIM(LEFT(X174,FIND(",",X174&amp;",")-1)),RefH_Code,0)),"Code H inconnu"))))</f>
        <v/>
      </c>
      <c r="Z174" s="50"/>
      <c r="AA174" s="50"/>
      <c r="AB174" s="51"/>
      <c r="AC174" s="51"/>
      <c r="AD174" s="51"/>
      <c r="AE174" s="51"/>
      <c r="AF174" s="50"/>
      <c r="AG174" s="51"/>
      <c r="AH174" s="54"/>
      <c r="AI174" s="51"/>
      <c r="AJ174" s="55" t="str">
        <f aca="false">IF(AH174="","",EDATE(AH174,60))</f>
        <v/>
      </c>
      <c r="AK174" s="49" t="str">
        <f aca="true">IF(B174="","",IF(OR(AG174="Non",AH174=""),"FDS ABSENTE",IF(TODAY()&gt;=EDATE(AH174,60),"EXPIRÉE",IF(TODAY()&gt;=EDATE(AH174,54),"À RENOUVELER","CONFORME"))))</f>
        <v/>
      </c>
      <c r="AL174" s="50"/>
      <c r="AM174" s="54"/>
      <c r="AN174" s="54"/>
      <c r="AO174" s="50"/>
      <c r="AP174" s="50"/>
      <c r="AQ174" s="50"/>
      <c r="AR174" s="50"/>
      <c r="AS174" s="50"/>
      <c r="AT174" s="50"/>
      <c r="AU174" s="50"/>
      <c r="AV174" s="50"/>
      <c r="AW174" s="52"/>
      <c r="AX174" s="52"/>
      <c r="AY174" s="56" t="str">
        <f aca="false">IF(OR(AW174="",AX174=""),"",AW174*AX174)</f>
        <v/>
      </c>
      <c r="AZ174" s="52"/>
      <c r="BA174" s="56" t="str">
        <f aca="false">IF(AY174="","",IF(AZ174="",AY174,ROUNDUP(AY174/AZ174,0)))</f>
        <v/>
      </c>
      <c r="BB174" s="49" t="str">
        <f aca="false">IF(BA174="","",IF(BA174&gt;=15,"P1 – Critique",IF(BA174&gt;=8,"P2 – Élevée",IF(BA174&gt;=4,"P3 – Modérée","P4 – Faible"))))</f>
        <v/>
      </c>
      <c r="BC174" s="50"/>
      <c r="BD174" s="50"/>
      <c r="BE174" s="54"/>
      <c r="BF174" s="57"/>
      <c r="BG174" s="50"/>
      <c r="BH174" s="54"/>
      <c r="BI174" s="54"/>
      <c r="BJ174" s="50"/>
      <c r="BK174" s="50"/>
    </row>
    <row r="175" customFormat="false" ht="15" hidden="false" customHeight="false" outlineLevel="0" collapsed="false">
      <c r="A175" s="49" t="str">
        <f aca="false">IF(B175="","","PC-"&amp;TEXT(ROW()-2,"000"))</f>
        <v/>
      </c>
      <c r="B175" s="50"/>
      <c r="C175" s="50"/>
      <c r="D175" s="51"/>
      <c r="E175" s="51"/>
      <c r="F175" s="51"/>
      <c r="G175" s="50"/>
      <c r="H175" s="50"/>
      <c r="I175" s="50"/>
      <c r="J175" s="51"/>
      <c r="K175" s="50"/>
      <c r="L175" s="50"/>
      <c r="M175" s="50"/>
      <c r="N175" s="50"/>
      <c r="O175" s="52"/>
      <c r="P175" s="50"/>
      <c r="Q175" s="52"/>
      <c r="R175" s="52"/>
      <c r="S175" s="49" t="str">
        <f aca="false">IF(B175="","",IF(OR(O175="",R175=""),"—",IF(O175&lt;=R175,"⚠ RÉAPPRO","OK")))</f>
        <v/>
      </c>
      <c r="T175" s="50"/>
      <c r="U175" s="50"/>
      <c r="V175" s="50"/>
      <c r="W175" s="50"/>
      <c r="X175" s="50"/>
      <c r="Y175" s="53" t="str">
        <f aca="false">IF(B175="","",IF(X175="","—",IF(X175="Non classé","Non classé",IFERROR(INDEX(RefH_Classe,MATCH(TRIM(LEFT(X175,FIND(",",X175&amp;",")-1)),RefH_Code,0)),"Code H inconnu"))))</f>
        <v/>
      </c>
      <c r="Z175" s="50"/>
      <c r="AA175" s="50"/>
      <c r="AB175" s="51"/>
      <c r="AC175" s="51"/>
      <c r="AD175" s="51"/>
      <c r="AE175" s="51"/>
      <c r="AF175" s="50"/>
      <c r="AG175" s="51"/>
      <c r="AH175" s="54"/>
      <c r="AI175" s="51"/>
      <c r="AJ175" s="55" t="str">
        <f aca="false">IF(AH175="","",EDATE(AH175,60))</f>
        <v/>
      </c>
      <c r="AK175" s="49" t="str">
        <f aca="true">IF(B175="","",IF(OR(AG175="Non",AH175=""),"FDS ABSENTE",IF(TODAY()&gt;=EDATE(AH175,60),"EXPIRÉE",IF(TODAY()&gt;=EDATE(AH175,54),"À RENOUVELER","CONFORME"))))</f>
        <v/>
      </c>
      <c r="AL175" s="50"/>
      <c r="AM175" s="54"/>
      <c r="AN175" s="54"/>
      <c r="AO175" s="50"/>
      <c r="AP175" s="50"/>
      <c r="AQ175" s="50"/>
      <c r="AR175" s="50"/>
      <c r="AS175" s="50"/>
      <c r="AT175" s="50"/>
      <c r="AU175" s="50"/>
      <c r="AV175" s="50"/>
      <c r="AW175" s="52"/>
      <c r="AX175" s="52"/>
      <c r="AY175" s="56" t="str">
        <f aca="false">IF(OR(AW175="",AX175=""),"",AW175*AX175)</f>
        <v/>
      </c>
      <c r="AZ175" s="52"/>
      <c r="BA175" s="56" t="str">
        <f aca="false">IF(AY175="","",IF(AZ175="",AY175,ROUNDUP(AY175/AZ175,0)))</f>
        <v/>
      </c>
      <c r="BB175" s="49" t="str">
        <f aca="false">IF(BA175="","",IF(BA175&gt;=15,"P1 – Critique",IF(BA175&gt;=8,"P2 – Élevée",IF(BA175&gt;=4,"P3 – Modérée","P4 – Faible"))))</f>
        <v/>
      </c>
      <c r="BC175" s="50"/>
      <c r="BD175" s="50"/>
      <c r="BE175" s="54"/>
      <c r="BF175" s="57"/>
      <c r="BG175" s="50"/>
      <c r="BH175" s="54"/>
      <c r="BI175" s="54"/>
      <c r="BJ175" s="50"/>
      <c r="BK175" s="50"/>
    </row>
    <row r="176" customFormat="false" ht="15" hidden="false" customHeight="false" outlineLevel="0" collapsed="false">
      <c r="A176" s="49" t="str">
        <f aca="false">IF(B176="","","PC-"&amp;TEXT(ROW()-2,"000"))</f>
        <v/>
      </c>
      <c r="B176" s="50"/>
      <c r="C176" s="50"/>
      <c r="D176" s="51"/>
      <c r="E176" s="51"/>
      <c r="F176" s="51"/>
      <c r="G176" s="50"/>
      <c r="H176" s="50"/>
      <c r="I176" s="50"/>
      <c r="J176" s="51"/>
      <c r="K176" s="50"/>
      <c r="L176" s="50"/>
      <c r="M176" s="50"/>
      <c r="N176" s="50"/>
      <c r="O176" s="52"/>
      <c r="P176" s="50"/>
      <c r="Q176" s="52"/>
      <c r="R176" s="52"/>
      <c r="S176" s="49" t="str">
        <f aca="false">IF(B176="","",IF(OR(O176="",R176=""),"—",IF(O176&lt;=R176,"⚠ RÉAPPRO","OK")))</f>
        <v/>
      </c>
      <c r="T176" s="50"/>
      <c r="U176" s="50"/>
      <c r="V176" s="50"/>
      <c r="W176" s="50"/>
      <c r="X176" s="50"/>
      <c r="Y176" s="53" t="str">
        <f aca="false">IF(B176="","",IF(X176="","—",IF(X176="Non classé","Non classé",IFERROR(INDEX(RefH_Classe,MATCH(TRIM(LEFT(X176,FIND(",",X176&amp;",")-1)),RefH_Code,0)),"Code H inconnu"))))</f>
        <v/>
      </c>
      <c r="Z176" s="50"/>
      <c r="AA176" s="50"/>
      <c r="AB176" s="51"/>
      <c r="AC176" s="51"/>
      <c r="AD176" s="51"/>
      <c r="AE176" s="51"/>
      <c r="AF176" s="50"/>
      <c r="AG176" s="51"/>
      <c r="AH176" s="54"/>
      <c r="AI176" s="51"/>
      <c r="AJ176" s="55" t="str">
        <f aca="false">IF(AH176="","",EDATE(AH176,60))</f>
        <v/>
      </c>
      <c r="AK176" s="49" t="str">
        <f aca="true">IF(B176="","",IF(OR(AG176="Non",AH176=""),"FDS ABSENTE",IF(TODAY()&gt;=EDATE(AH176,60),"EXPIRÉE",IF(TODAY()&gt;=EDATE(AH176,54),"À RENOUVELER","CONFORME"))))</f>
        <v/>
      </c>
      <c r="AL176" s="50"/>
      <c r="AM176" s="54"/>
      <c r="AN176" s="54"/>
      <c r="AO176" s="50"/>
      <c r="AP176" s="50"/>
      <c r="AQ176" s="50"/>
      <c r="AR176" s="50"/>
      <c r="AS176" s="50"/>
      <c r="AT176" s="50"/>
      <c r="AU176" s="50"/>
      <c r="AV176" s="50"/>
      <c r="AW176" s="52"/>
      <c r="AX176" s="52"/>
      <c r="AY176" s="56" t="str">
        <f aca="false">IF(OR(AW176="",AX176=""),"",AW176*AX176)</f>
        <v/>
      </c>
      <c r="AZ176" s="52"/>
      <c r="BA176" s="56" t="str">
        <f aca="false">IF(AY176="","",IF(AZ176="",AY176,ROUNDUP(AY176/AZ176,0)))</f>
        <v/>
      </c>
      <c r="BB176" s="49" t="str">
        <f aca="false">IF(BA176="","",IF(BA176&gt;=15,"P1 – Critique",IF(BA176&gt;=8,"P2 – Élevée",IF(BA176&gt;=4,"P3 – Modérée","P4 – Faible"))))</f>
        <v/>
      </c>
      <c r="BC176" s="50"/>
      <c r="BD176" s="50"/>
      <c r="BE176" s="54"/>
      <c r="BF176" s="57"/>
      <c r="BG176" s="50"/>
      <c r="BH176" s="54"/>
      <c r="BI176" s="54"/>
      <c r="BJ176" s="50"/>
      <c r="BK176" s="50"/>
    </row>
    <row r="177" customFormat="false" ht="15" hidden="false" customHeight="false" outlineLevel="0" collapsed="false">
      <c r="A177" s="49" t="str">
        <f aca="false">IF(B177="","","PC-"&amp;TEXT(ROW()-2,"000"))</f>
        <v/>
      </c>
      <c r="B177" s="50"/>
      <c r="C177" s="50"/>
      <c r="D177" s="51"/>
      <c r="E177" s="51"/>
      <c r="F177" s="51"/>
      <c r="G177" s="50"/>
      <c r="H177" s="50"/>
      <c r="I177" s="50"/>
      <c r="J177" s="51"/>
      <c r="K177" s="50"/>
      <c r="L177" s="50"/>
      <c r="M177" s="50"/>
      <c r="N177" s="50"/>
      <c r="O177" s="52"/>
      <c r="P177" s="50"/>
      <c r="Q177" s="52"/>
      <c r="R177" s="52"/>
      <c r="S177" s="49" t="str">
        <f aca="false">IF(B177="","",IF(OR(O177="",R177=""),"—",IF(O177&lt;=R177,"⚠ RÉAPPRO","OK")))</f>
        <v/>
      </c>
      <c r="T177" s="50"/>
      <c r="U177" s="50"/>
      <c r="V177" s="50"/>
      <c r="W177" s="50"/>
      <c r="X177" s="50"/>
      <c r="Y177" s="53" t="str">
        <f aca="false">IF(B177="","",IF(X177="","—",IF(X177="Non classé","Non classé",IFERROR(INDEX(RefH_Classe,MATCH(TRIM(LEFT(X177,FIND(",",X177&amp;",")-1)),RefH_Code,0)),"Code H inconnu"))))</f>
        <v/>
      </c>
      <c r="Z177" s="50"/>
      <c r="AA177" s="50"/>
      <c r="AB177" s="51"/>
      <c r="AC177" s="51"/>
      <c r="AD177" s="51"/>
      <c r="AE177" s="51"/>
      <c r="AF177" s="50"/>
      <c r="AG177" s="51"/>
      <c r="AH177" s="54"/>
      <c r="AI177" s="51"/>
      <c r="AJ177" s="55" t="str">
        <f aca="false">IF(AH177="","",EDATE(AH177,60))</f>
        <v/>
      </c>
      <c r="AK177" s="49" t="str">
        <f aca="true">IF(B177="","",IF(OR(AG177="Non",AH177=""),"FDS ABSENTE",IF(TODAY()&gt;=EDATE(AH177,60),"EXPIRÉE",IF(TODAY()&gt;=EDATE(AH177,54),"À RENOUVELER","CONFORME"))))</f>
        <v/>
      </c>
      <c r="AL177" s="50"/>
      <c r="AM177" s="54"/>
      <c r="AN177" s="54"/>
      <c r="AO177" s="50"/>
      <c r="AP177" s="50"/>
      <c r="AQ177" s="50"/>
      <c r="AR177" s="50"/>
      <c r="AS177" s="50"/>
      <c r="AT177" s="50"/>
      <c r="AU177" s="50"/>
      <c r="AV177" s="50"/>
      <c r="AW177" s="52"/>
      <c r="AX177" s="52"/>
      <c r="AY177" s="56" t="str">
        <f aca="false">IF(OR(AW177="",AX177=""),"",AW177*AX177)</f>
        <v/>
      </c>
      <c r="AZ177" s="52"/>
      <c r="BA177" s="56" t="str">
        <f aca="false">IF(AY177="","",IF(AZ177="",AY177,ROUNDUP(AY177/AZ177,0)))</f>
        <v/>
      </c>
      <c r="BB177" s="49" t="str">
        <f aca="false">IF(BA177="","",IF(BA177&gt;=15,"P1 – Critique",IF(BA177&gt;=8,"P2 – Élevée",IF(BA177&gt;=4,"P3 – Modérée","P4 – Faible"))))</f>
        <v/>
      </c>
      <c r="BC177" s="50"/>
      <c r="BD177" s="50"/>
      <c r="BE177" s="54"/>
      <c r="BF177" s="57"/>
      <c r="BG177" s="50"/>
      <c r="BH177" s="54"/>
      <c r="BI177" s="54"/>
      <c r="BJ177" s="50"/>
      <c r="BK177" s="50"/>
    </row>
    <row r="178" customFormat="false" ht="15" hidden="false" customHeight="false" outlineLevel="0" collapsed="false">
      <c r="A178" s="49" t="str">
        <f aca="false">IF(B178="","","PC-"&amp;TEXT(ROW()-2,"000"))</f>
        <v/>
      </c>
      <c r="B178" s="50"/>
      <c r="C178" s="50"/>
      <c r="D178" s="51"/>
      <c r="E178" s="51"/>
      <c r="F178" s="51"/>
      <c r="G178" s="50"/>
      <c r="H178" s="50"/>
      <c r="I178" s="50"/>
      <c r="J178" s="51"/>
      <c r="K178" s="50"/>
      <c r="L178" s="50"/>
      <c r="M178" s="50"/>
      <c r="N178" s="50"/>
      <c r="O178" s="52"/>
      <c r="P178" s="50"/>
      <c r="Q178" s="52"/>
      <c r="R178" s="52"/>
      <c r="S178" s="49" t="str">
        <f aca="false">IF(B178="","",IF(OR(O178="",R178=""),"—",IF(O178&lt;=R178,"⚠ RÉAPPRO","OK")))</f>
        <v/>
      </c>
      <c r="T178" s="50"/>
      <c r="U178" s="50"/>
      <c r="V178" s="50"/>
      <c r="W178" s="50"/>
      <c r="X178" s="50"/>
      <c r="Y178" s="53" t="str">
        <f aca="false">IF(B178="","",IF(X178="","—",IF(X178="Non classé","Non classé",IFERROR(INDEX(RefH_Classe,MATCH(TRIM(LEFT(X178,FIND(",",X178&amp;",")-1)),RefH_Code,0)),"Code H inconnu"))))</f>
        <v/>
      </c>
      <c r="Z178" s="50"/>
      <c r="AA178" s="50"/>
      <c r="AB178" s="51"/>
      <c r="AC178" s="51"/>
      <c r="AD178" s="51"/>
      <c r="AE178" s="51"/>
      <c r="AF178" s="50"/>
      <c r="AG178" s="51"/>
      <c r="AH178" s="54"/>
      <c r="AI178" s="51"/>
      <c r="AJ178" s="55" t="str">
        <f aca="false">IF(AH178="","",EDATE(AH178,60))</f>
        <v/>
      </c>
      <c r="AK178" s="49" t="str">
        <f aca="true">IF(B178="","",IF(OR(AG178="Non",AH178=""),"FDS ABSENTE",IF(TODAY()&gt;=EDATE(AH178,60),"EXPIRÉE",IF(TODAY()&gt;=EDATE(AH178,54),"À RENOUVELER","CONFORME"))))</f>
        <v/>
      </c>
      <c r="AL178" s="50"/>
      <c r="AM178" s="54"/>
      <c r="AN178" s="54"/>
      <c r="AO178" s="50"/>
      <c r="AP178" s="50"/>
      <c r="AQ178" s="50"/>
      <c r="AR178" s="50"/>
      <c r="AS178" s="50"/>
      <c r="AT178" s="50"/>
      <c r="AU178" s="50"/>
      <c r="AV178" s="50"/>
      <c r="AW178" s="52"/>
      <c r="AX178" s="52"/>
      <c r="AY178" s="56" t="str">
        <f aca="false">IF(OR(AW178="",AX178=""),"",AW178*AX178)</f>
        <v/>
      </c>
      <c r="AZ178" s="52"/>
      <c r="BA178" s="56" t="str">
        <f aca="false">IF(AY178="","",IF(AZ178="",AY178,ROUNDUP(AY178/AZ178,0)))</f>
        <v/>
      </c>
      <c r="BB178" s="49" t="str">
        <f aca="false">IF(BA178="","",IF(BA178&gt;=15,"P1 – Critique",IF(BA178&gt;=8,"P2 – Élevée",IF(BA178&gt;=4,"P3 – Modérée","P4 – Faible"))))</f>
        <v/>
      </c>
      <c r="BC178" s="50"/>
      <c r="BD178" s="50"/>
      <c r="BE178" s="54"/>
      <c r="BF178" s="57"/>
      <c r="BG178" s="50"/>
      <c r="BH178" s="54"/>
      <c r="BI178" s="54"/>
      <c r="BJ178" s="50"/>
      <c r="BK178" s="50"/>
    </row>
    <row r="179" customFormat="false" ht="15" hidden="false" customHeight="false" outlineLevel="0" collapsed="false">
      <c r="A179" s="49" t="str">
        <f aca="false">IF(B179="","","PC-"&amp;TEXT(ROW()-2,"000"))</f>
        <v/>
      </c>
      <c r="B179" s="50"/>
      <c r="C179" s="50"/>
      <c r="D179" s="51"/>
      <c r="E179" s="51"/>
      <c r="F179" s="51"/>
      <c r="G179" s="50"/>
      <c r="H179" s="50"/>
      <c r="I179" s="50"/>
      <c r="J179" s="51"/>
      <c r="K179" s="50"/>
      <c r="L179" s="50"/>
      <c r="M179" s="50"/>
      <c r="N179" s="50"/>
      <c r="O179" s="52"/>
      <c r="P179" s="50"/>
      <c r="Q179" s="52"/>
      <c r="R179" s="52"/>
      <c r="S179" s="49" t="str">
        <f aca="false">IF(B179="","",IF(OR(O179="",R179=""),"—",IF(O179&lt;=R179,"⚠ RÉAPPRO","OK")))</f>
        <v/>
      </c>
      <c r="T179" s="50"/>
      <c r="U179" s="50"/>
      <c r="V179" s="50"/>
      <c r="W179" s="50"/>
      <c r="X179" s="50"/>
      <c r="Y179" s="53" t="str">
        <f aca="false">IF(B179="","",IF(X179="","—",IF(X179="Non classé","Non classé",IFERROR(INDEX(RefH_Classe,MATCH(TRIM(LEFT(X179,FIND(",",X179&amp;",")-1)),RefH_Code,0)),"Code H inconnu"))))</f>
        <v/>
      </c>
      <c r="Z179" s="50"/>
      <c r="AA179" s="50"/>
      <c r="AB179" s="51"/>
      <c r="AC179" s="51"/>
      <c r="AD179" s="51"/>
      <c r="AE179" s="51"/>
      <c r="AF179" s="50"/>
      <c r="AG179" s="51"/>
      <c r="AH179" s="54"/>
      <c r="AI179" s="51"/>
      <c r="AJ179" s="55" t="str">
        <f aca="false">IF(AH179="","",EDATE(AH179,60))</f>
        <v/>
      </c>
      <c r="AK179" s="49" t="str">
        <f aca="true">IF(B179="","",IF(OR(AG179="Non",AH179=""),"FDS ABSENTE",IF(TODAY()&gt;=EDATE(AH179,60),"EXPIRÉE",IF(TODAY()&gt;=EDATE(AH179,54),"À RENOUVELER","CONFORME"))))</f>
        <v/>
      </c>
      <c r="AL179" s="50"/>
      <c r="AM179" s="54"/>
      <c r="AN179" s="54"/>
      <c r="AO179" s="50"/>
      <c r="AP179" s="50"/>
      <c r="AQ179" s="50"/>
      <c r="AR179" s="50"/>
      <c r="AS179" s="50"/>
      <c r="AT179" s="50"/>
      <c r="AU179" s="50"/>
      <c r="AV179" s="50"/>
      <c r="AW179" s="52"/>
      <c r="AX179" s="52"/>
      <c r="AY179" s="56" t="str">
        <f aca="false">IF(OR(AW179="",AX179=""),"",AW179*AX179)</f>
        <v/>
      </c>
      <c r="AZ179" s="52"/>
      <c r="BA179" s="56" t="str">
        <f aca="false">IF(AY179="","",IF(AZ179="",AY179,ROUNDUP(AY179/AZ179,0)))</f>
        <v/>
      </c>
      <c r="BB179" s="49" t="str">
        <f aca="false">IF(BA179="","",IF(BA179&gt;=15,"P1 – Critique",IF(BA179&gt;=8,"P2 – Élevée",IF(BA179&gt;=4,"P3 – Modérée","P4 – Faible"))))</f>
        <v/>
      </c>
      <c r="BC179" s="50"/>
      <c r="BD179" s="50"/>
      <c r="BE179" s="54"/>
      <c r="BF179" s="57"/>
      <c r="BG179" s="50"/>
      <c r="BH179" s="54"/>
      <c r="BI179" s="54"/>
      <c r="BJ179" s="50"/>
      <c r="BK179" s="50"/>
    </row>
    <row r="180" customFormat="false" ht="15" hidden="false" customHeight="false" outlineLevel="0" collapsed="false">
      <c r="A180" s="49" t="str">
        <f aca="false">IF(B180="","","PC-"&amp;TEXT(ROW()-2,"000"))</f>
        <v/>
      </c>
      <c r="B180" s="50"/>
      <c r="C180" s="50"/>
      <c r="D180" s="51"/>
      <c r="E180" s="51"/>
      <c r="F180" s="51"/>
      <c r="G180" s="50"/>
      <c r="H180" s="50"/>
      <c r="I180" s="50"/>
      <c r="J180" s="51"/>
      <c r="K180" s="50"/>
      <c r="L180" s="50"/>
      <c r="M180" s="50"/>
      <c r="N180" s="50"/>
      <c r="O180" s="52"/>
      <c r="P180" s="50"/>
      <c r="Q180" s="52"/>
      <c r="R180" s="52"/>
      <c r="S180" s="49" t="str">
        <f aca="false">IF(B180="","",IF(OR(O180="",R180=""),"—",IF(O180&lt;=R180,"⚠ RÉAPPRO","OK")))</f>
        <v/>
      </c>
      <c r="T180" s="50"/>
      <c r="U180" s="50"/>
      <c r="V180" s="50"/>
      <c r="W180" s="50"/>
      <c r="X180" s="50"/>
      <c r="Y180" s="53" t="str">
        <f aca="false">IF(B180="","",IF(X180="","—",IF(X180="Non classé","Non classé",IFERROR(INDEX(RefH_Classe,MATCH(TRIM(LEFT(X180,FIND(",",X180&amp;",")-1)),RefH_Code,0)),"Code H inconnu"))))</f>
        <v/>
      </c>
      <c r="Z180" s="50"/>
      <c r="AA180" s="50"/>
      <c r="AB180" s="51"/>
      <c r="AC180" s="51"/>
      <c r="AD180" s="51"/>
      <c r="AE180" s="51"/>
      <c r="AF180" s="50"/>
      <c r="AG180" s="51"/>
      <c r="AH180" s="54"/>
      <c r="AI180" s="51"/>
      <c r="AJ180" s="55" t="str">
        <f aca="false">IF(AH180="","",EDATE(AH180,60))</f>
        <v/>
      </c>
      <c r="AK180" s="49" t="str">
        <f aca="true">IF(B180="","",IF(OR(AG180="Non",AH180=""),"FDS ABSENTE",IF(TODAY()&gt;=EDATE(AH180,60),"EXPIRÉE",IF(TODAY()&gt;=EDATE(AH180,54),"À RENOUVELER","CONFORME"))))</f>
        <v/>
      </c>
      <c r="AL180" s="50"/>
      <c r="AM180" s="54"/>
      <c r="AN180" s="54"/>
      <c r="AO180" s="50"/>
      <c r="AP180" s="50"/>
      <c r="AQ180" s="50"/>
      <c r="AR180" s="50"/>
      <c r="AS180" s="50"/>
      <c r="AT180" s="50"/>
      <c r="AU180" s="50"/>
      <c r="AV180" s="50"/>
      <c r="AW180" s="52"/>
      <c r="AX180" s="52"/>
      <c r="AY180" s="56" t="str">
        <f aca="false">IF(OR(AW180="",AX180=""),"",AW180*AX180)</f>
        <v/>
      </c>
      <c r="AZ180" s="52"/>
      <c r="BA180" s="56" t="str">
        <f aca="false">IF(AY180="","",IF(AZ180="",AY180,ROUNDUP(AY180/AZ180,0)))</f>
        <v/>
      </c>
      <c r="BB180" s="49" t="str">
        <f aca="false">IF(BA180="","",IF(BA180&gt;=15,"P1 – Critique",IF(BA180&gt;=8,"P2 – Élevée",IF(BA180&gt;=4,"P3 – Modérée","P4 – Faible"))))</f>
        <v/>
      </c>
      <c r="BC180" s="50"/>
      <c r="BD180" s="50"/>
      <c r="BE180" s="54"/>
      <c r="BF180" s="57"/>
      <c r="BG180" s="50"/>
      <c r="BH180" s="54"/>
      <c r="BI180" s="54"/>
      <c r="BJ180" s="50"/>
      <c r="BK180" s="50"/>
    </row>
    <row r="181" customFormat="false" ht="15" hidden="false" customHeight="false" outlineLevel="0" collapsed="false">
      <c r="A181" s="49" t="str">
        <f aca="false">IF(B181="","","PC-"&amp;TEXT(ROW()-2,"000"))</f>
        <v/>
      </c>
      <c r="B181" s="50"/>
      <c r="C181" s="50"/>
      <c r="D181" s="51"/>
      <c r="E181" s="51"/>
      <c r="F181" s="51"/>
      <c r="G181" s="50"/>
      <c r="H181" s="50"/>
      <c r="I181" s="50"/>
      <c r="J181" s="51"/>
      <c r="K181" s="50"/>
      <c r="L181" s="50"/>
      <c r="M181" s="50"/>
      <c r="N181" s="50"/>
      <c r="O181" s="52"/>
      <c r="P181" s="50"/>
      <c r="Q181" s="52"/>
      <c r="R181" s="52"/>
      <c r="S181" s="49" t="str">
        <f aca="false">IF(B181="","",IF(OR(O181="",R181=""),"—",IF(O181&lt;=R181,"⚠ RÉAPPRO","OK")))</f>
        <v/>
      </c>
      <c r="T181" s="50"/>
      <c r="U181" s="50"/>
      <c r="V181" s="50"/>
      <c r="W181" s="50"/>
      <c r="X181" s="50"/>
      <c r="Y181" s="53" t="str">
        <f aca="false">IF(B181="","",IF(X181="","—",IF(X181="Non classé","Non classé",IFERROR(INDEX(RefH_Classe,MATCH(TRIM(LEFT(X181,FIND(",",X181&amp;",")-1)),RefH_Code,0)),"Code H inconnu"))))</f>
        <v/>
      </c>
      <c r="Z181" s="50"/>
      <c r="AA181" s="50"/>
      <c r="AB181" s="51"/>
      <c r="AC181" s="51"/>
      <c r="AD181" s="51"/>
      <c r="AE181" s="51"/>
      <c r="AF181" s="50"/>
      <c r="AG181" s="51"/>
      <c r="AH181" s="54"/>
      <c r="AI181" s="51"/>
      <c r="AJ181" s="55" t="str">
        <f aca="false">IF(AH181="","",EDATE(AH181,60))</f>
        <v/>
      </c>
      <c r="AK181" s="49" t="str">
        <f aca="true">IF(B181="","",IF(OR(AG181="Non",AH181=""),"FDS ABSENTE",IF(TODAY()&gt;=EDATE(AH181,60),"EXPIRÉE",IF(TODAY()&gt;=EDATE(AH181,54),"À RENOUVELER","CONFORME"))))</f>
        <v/>
      </c>
      <c r="AL181" s="50"/>
      <c r="AM181" s="54"/>
      <c r="AN181" s="54"/>
      <c r="AO181" s="50"/>
      <c r="AP181" s="50"/>
      <c r="AQ181" s="50"/>
      <c r="AR181" s="50"/>
      <c r="AS181" s="50"/>
      <c r="AT181" s="50"/>
      <c r="AU181" s="50"/>
      <c r="AV181" s="50"/>
      <c r="AW181" s="52"/>
      <c r="AX181" s="52"/>
      <c r="AY181" s="56" t="str">
        <f aca="false">IF(OR(AW181="",AX181=""),"",AW181*AX181)</f>
        <v/>
      </c>
      <c r="AZ181" s="52"/>
      <c r="BA181" s="56" t="str">
        <f aca="false">IF(AY181="","",IF(AZ181="",AY181,ROUNDUP(AY181/AZ181,0)))</f>
        <v/>
      </c>
      <c r="BB181" s="49" t="str">
        <f aca="false">IF(BA181="","",IF(BA181&gt;=15,"P1 – Critique",IF(BA181&gt;=8,"P2 – Élevée",IF(BA181&gt;=4,"P3 – Modérée","P4 – Faible"))))</f>
        <v/>
      </c>
      <c r="BC181" s="50"/>
      <c r="BD181" s="50"/>
      <c r="BE181" s="54"/>
      <c r="BF181" s="57"/>
      <c r="BG181" s="50"/>
      <c r="BH181" s="54"/>
      <c r="BI181" s="54"/>
      <c r="BJ181" s="50"/>
      <c r="BK181" s="50"/>
    </row>
    <row r="182" customFormat="false" ht="15" hidden="false" customHeight="false" outlineLevel="0" collapsed="false">
      <c r="A182" s="49" t="str">
        <f aca="false">IF(B182="","","PC-"&amp;TEXT(ROW()-2,"000"))</f>
        <v/>
      </c>
      <c r="B182" s="50"/>
      <c r="C182" s="50"/>
      <c r="D182" s="51"/>
      <c r="E182" s="51"/>
      <c r="F182" s="51"/>
      <c r="G182" s="50"/>
      <c r="H182" s="50"/>
      <c r="I182" s="50"/>
      <c r="J182" s="51"/>
      <c r="K182" s="50"/>
      <c r="L182" s="50"/>
      <c r="M182" s="50"/>
      <c r="N182" s="50"/>
      <c r="O182" s="52"/>
      <c r="P182" s="50"/>
      <c r="Q182" s="52"/>
      <c r="R182" s="52"/>
      <c r="S182" s="49" t="str">
        <f aca="false">IF(B182="","",IF(OR(O182="",R182=""),"—",IF(O182&lt;=R182,"⚠ RÉAPPRO","OK")))</f>
        <v/>
      </c>
      <c r="T182" s="50"/>
      <c r="U182" s="50"/>
      <c r="V182" s="50"/>
      <c r="W182" s="50"/>
      <c r="X182" s="50"/>
      <c r="Y182" s="53" t="str">
        <f aca="false">IF(B182="","",IF(X182="","—",IF(X182="Non classé","Non classé",IFERROR(INDEX(RefH_Classe,MATCH(TRIM(LEFT(X182,FIND(",",X182&amp;",")-1)),RefH_Code,0)),"Code H inconnu"))))</f>
        <v/>
      </c>
      <c r="Z182" s="50"/>
      <c r="AA182" s="50"/>
      <c r="AB182" s="51"/>
      <c r="AC182" s="51"/>
      <c r="AD182" s="51"/>
      <c r="AE182" s="51"/>
      <c r="AF182" s="50"/>
      <c r="AG182" s="51"/>
      <c r="AH182" s="54"/>
      <c r="AI182" s="51"/>
      <c r="AJ182" s="55" t="str">
        <f aca="false">IF(AH182="","",EDATE(AH182,60))</f>
        <v/>
      </c>
      <c r="AK182" s="49" t="str">
        <f aca="true">IF(B182="","",IF(OR(AG182="Non",AH182=""),"FDS ABSENTE",IF(TODAY()&gt;=EDATE(AH182,60),"EXPIRÉE",IF(TODAY()&gt;=EDATE(AH182,54),"À RENOUVELER","CONFORME"))))</f>
        <v/>
      </c>
      <c r="AL182" s="50"/>
      <c r="AM182" s="54"/>
      <c r="AN182" s="54"/>
      <c r="AO182" s="50"/>
      <c r="AP182" s="50"/>
      <c r="AQ182" s="50"/>
      <c r="AR182" s="50"/>
      <c r="AS182" s="50"/>
      <c r="AT182" s="50"/>
      <c r="AU182" s="50"/>
      <c r="AV182" s="50"/>
      <c r="AW182" s="52"/>
      <c r="AX182" s="52"/>
      <c r="AY182" s="56" t="str">
        <f aca="false">IF(OR(AW182="",AX182=""),"",AW182*AX182)</f>
        <v/>
      </c>
      <c r="AZ182" s="52"/>
      <c r="BA182" s="56" t="str">
        <f aca="false">IF(AY182="","",IF(AZ182="",AY182,ROUNDUP(AY182/AZ182,0)))</f>
        <v/>
      </c>
      <c r="BB182" s="49" t="str">
        <f aca="false">IF(BA182="","",IF(BA182&gt;=15,"P1 – Critique",IF(BA182&gt;=8,"P2 – Élevée",IF(BA182&gt;=4,"P3 – Modérée","P4 – Faible"))))</f>
        <v/>
      </c>
      <c r="BC182" s="50"/>
      <c r="BD182" s="50"/>
      <c r="BE182" s="54"/>
      <c r="BF182" s="57"/>
      <c r="BG182" s="50"/>
      <c r="BH182" s="54"/>
      <c r="BI182" s="54"/>
      <c r="BJ182" s="50"/>
      <c r="BK182" s="50"/>
    </row>
    <row r="183" customFormat="false" ht="15" hidden="false" customHeight="false" outlineLevel="0" collapsed="false">
      <c r="A183" s="49" t="str">
        <f aca="false">IF(B183="","","PC-"&amp;TEXT(ROW()-2,"000"))</f>
        <v/>
      </c>
      <c r="B183" s="50"/>
      <c r="C183" s="50"/>
      <c r="D183" s="51"/>
      <c r="E183" s="51"/>
      <c r="F183" s="51"/>
      <c r="G183" s="50"/>
      <c r="H183" s="50"/>
      <c r="I183" s="50"/>
      <c r="J183" s="51"/>
      <c r="K183" s="50"/>
      <c r="L183" s="50"/>
      <c r="M183" s="50"/>
      <c r="N183" s="50"/>
      <c r="O183" s="52"/>
      <c r="P183" s="50"/>
      <c r="Q183" s="52"/>
      <c r="R183" s="52"/>
      <c r="S183" s="49" t="str">
        <f aca="false">IF(B183="","",IF(OR(O183="",R183=""),"—",IF(O183&lt;=R183,"⚠ RÉAPPRO","OK")))</f>
        <v/>
      </c>
      <c r="T183" s="50"/>
      <c r="U183" s="50"/>
      <c r="V183" s="50"/>
      <c r="W183" s="50"/>
      <c r="X183" s="50"/>
      <c r="Y183" s="53" t="str">
        <f aca="false">IF(B183="","",IF(X183="","—",IF(X183="Non classé","Non classé",IFERROR(INDEX(RefH_Classe,MATCH(TRIM(LEFT(X183,FIND(",",X183&amp;",")-1)),RefH_Code,0)),"Code H inconnu"))))</f>
        <v/>
      </c>
      <c r="Z183" s="50"/>
      <c r="AA183" s="50"/>
      <c r="AB183" s="51"/>
      <c r="AC183" s="51"/>
      <c r="AD183" s="51"/>
      <c r="AE183" s="51"/>
      <c r="AF183" s="50"/>
      <c r="AG183" s="51"/>
      <c r="AH183" s="54"/>
      <c r="AI183" s="51"/>
      <c r="AJ183" s="55" t="str">
        <f aca="false">IF(AH183="","",EDATE(AH183,60))</f>
        <v/>
      </c>
      <c r="AK183" s="49" t="str">
        <f aca="true">IF(B183="","",IF(OR(AG183="Non",AH183=""),"FDS ABSENTE",IF(TODAY()&gt;=EDATE(AH183,60),"EXPIRÉE",IF(TODAY()&gt;=EDATE(AH183,54),"À RENOUVELER","CONFORME"))))</f>
        <v/>
      </c>
      <c r="AL183" s="50"/>
      <c r="AM183" s="54"/>
      <c r="AN183" s="54"/>
      <c r="AO183" s="50"/>
      <c r="AP183" s="50"/>
      <c r="AQ183" s="50"/>
      <c r="AR183" s="50"/>
      <c r="AS183" s="50"/>
      <c r="AT183" s="50"/>
      <c r="AU183" s="50"/>
      <c r="AV183" s="50"/>
      <c r="AW183" s="52"/>
      <c r="AX183" s="52"/>
      <c r="AY183" s="56" t="str">
        <f aca="false">IF(OR(AW183="",AX183=""),"",AW183*AX183)</f>
        <v/>
      </c>
      <c r="AZ183" s="52"/>
      <c r="BA183" s="56" t="str">
        <f aca="false">IF(AY183="","",IF(AZ183="",AY183,ROUNDUP(AY183/AZ183,0)))</f>
        <v/>
      </c>
      <c r="BB183" s="49" t="str">
        <f aca="false">IF(BA183="","",IF(BA183&gt;=15,"P1 – Critique",IF(BA183&gt;=8,"P2 – Élevée",IF(BA183&gt;=4,"P3 – Modérée","P4 – Faible"))))</f>
        <v/>
      </c>
      <c r="BC183" s="50"/>
      <c r="BD183" s="50"/>
      <c r="BE183" s="54"/>
      <c r="BF183" s="57"/>
      <c r="BG183" s="50"/>
      <c r="BH183" s="54"/>
      <c r="BI183" s="54"/>
      <c r="BJ183" s="50"/>
      <c r="BK183" s="50"/>
    </row>
    <row r="184" customFormat="false" ht="15" hidden="false" customHeight="false" outlineLevel="0" collapsed="false">
      <c r="A184" s="49" t="str">
        <f aca="false">IF(B184="","","PC-"&amp;TEXT(ROW()-2,"000"))</f>
        <v/>
      </c>
      <c r="B184" s="50"/>
      <c r="C184" s="50"/>
      <c r="D184" s="51"/>
      <c r="E184" s="51"/>
      <c r="F184" s="51"/>
      <c r="G184" s="50"/>
      <c r="H184" s="50"/>
      <c r="I184" s="50"/>
      <c r="J184" s="51"/>
      <c r="K184" s="50"/>
      <c r="L184" s="50"/>
      <c r="M184" s="50"/>
      <c r="N184" s="50"/>
      <c r="O184" s="52"/>
      <c r="P184" s="50"/>
      <c r="Q184" s="52"/>
      <c r="R184" s="52"/>
      <c r="S184" s="49" t="str">
        <f aca="false">IF(B184="","",IF(OR(O184="",R184=""),"—",IF(O184&lt;=R184,"⚠ RÉAPPRO","OK")))</f>
        <v/>
      </c>
      <c r="T184" s="50"/>
      <c r="U184" s="50"/>
      <c r="V184" s="50"/>
      <c r="W184" s="50"/>
      <c r="X184" s="50"/>
      <c r="Y184" s="53" t="str">
        <f aca="false">IF(B184="","",IF(X184="","—",IF(X184="Non classé","Non classé",IFERROR(INDEX(RefH_Classe,MATCH(TRIM(LEFT(X184,FIND(",",X184&amp;",")-1)),RefH_Code,0)),"Code H inconnu"))))</f>
        <v/>
      </c>
      <c r="Z184" s="50"/>
      <c r="AA184" s="50"/>
      <c r="AB184" s="51"/>
      <c r="AC184" s="51"/>
      <c r="AD184" s="51"/>
      <c r="AE184" s="51"/>
      <c r="AF184" s="50"/>
      <c r="AG184" s="51"/>
      <c r="AH184" s="54"/>
      <c r="AI184" s="51"/>
      <c r="AJ184" s="55" t="str">
        <f aca="false">IF(AH184="","",EDATE(AH184,60))</f>
        <v/>
      </c>
      <c r="AK184" s="49" t="str">
        <f aca="true">IF(B184="","",IF(OR(AG184="Non",AH184=""),"FDS ABSENTE",IF(TODAY()&gt;=EDATE(AH184,60),"EXPIRÉE",IF(TODAY()&gt;=EDATE(AH184,54),"À RENOUVELER","CONFORME"))))</f>
        <v/>
      </c>
      <c r="AL184" s="50"/>
      <c r="AM184" s="54"/>
      <c r="AN184" s="54"/>
      <c r="AO184" s="50"/>
      <c r="AP184" s="50"/>
      <c r="AQ184" s="50"/>
      <c r="AR184" s="50"/>
      <c r="AS184" s="50"/>
      <c r="AT184" s="50"/>
      <c r="AU184" s="50"/>
      <c r="AV184" s="50"/>
      <c r="AW184" s="52"/>
      <c r="AX184" s="52"/>
      <c r="AY184" s="56" t="str">
        <f aca="false">IF(OR(AW184="",AX184=""),"",AW184*AX184)</f>
        <v/>
      </c>
      <c r="AZ184" s="52"/>
      <c r="BA184" s="56" t="str">
        <f aca="false">IF(AY184="","",IF(AZ184="",AY184,ROUNDUP(AY184/AZ184,0)))</f>
        <v/>
      </c>
      <c r="BB184" s="49" t="str">
        <f aca="false">IF(BA184="","",IF(BA184&gt;=15,"P1 – Critique",IF(BA184&gt;=8,"P2 – Élevée",IF(BA184&gt;=4,"P3 – Modérée","P4 – Faible"))))</f>
        <v/>
      </c>
      <c r="BC184" s="50"/>
      <c r="BD184" s="50"/>
      <c r="BE184" s="54"/>
      <c r="BF184" s="57"/>
      <c r="BG184" s="50"/>
      <c r="BH184" s="54"/>
      <c r="BI184" s="54"/>
      <c r="BJ184" s="50"/>
      <c r="BK184" s="50"/>
    </row>
    <row r="185" customFormat="false" ht="15" hidden="false" customHeight="false" outlineLevel="0" collapsed="false">
      <c r="A185" s="49" t="str">
        <f aca="false">IF(B185="","","PC-"&amp;TEXT(ROW()-2,"000"))</f>
        <v/>
      </c>
      <c r="B185" s="50"/>
      <c r="C185" s="50"/>
      <c r="D185" s="51"/>
      <c r="E185" s="51"/>
      <c r="F185" s="51"/>
      <c r="G185" s="50"/>
      <c r="H185" s="50"/>
      <c r="I185" s="50"/>
      <c r="J185" s="51"/>
      <c r="K185" s="50"/>
      <c r="L185" s="50"/>
      <c r="M185" s="50"/>
      <c r="N185" s="50"/>
      <c r="O185" s="52"/>
      <c r="P185" s="50"/>
      <c r="Q185" s="52"/>
      <c r="R185" s="52"/>
      <c r="S185" s="49" t="str">
        <f aca="false">IF(B185="","",IF(OR(O185="",R185=""),"—",IF(O185&lt;=R185,"⚠ RÉAPPRO","OK")))</f>
        <v/>
      </c>
      <c r="T185" s="50"/>
      <c r="U185" s="50"/>
      <c r="V185" s="50"/>
      <c r="W185" s="50"/>
      <c r="X185" s="50"/>
      <c r="Y185" s="53" t="str">
        <f aca="false">IF(B185="","",IF(X185="","—",IF(X185="Non classé","Non classé",IFERROR(INDEX(RefH_Classe,MATCH(TRIM(LEFT(X185,FIND(",",X185&amp;",")-1)),RefH_Code,0)),"Code H inconnu"))))</f>
        <v/>
      </c>
      <c r="Z185" s="50"/>
      <c r="AA185" s="50"/>
      <c r="AB185" s="51"/>
      <c r="AC185" s="51"/>
      <c r="AD185" s="51"/>
      <c r="AE185" s="51"/>
      <c r="AF185" s="50"/>
      <c r="AG185" s="51"/>
      <c r="AH185" s="54"/>
      <c r="AI185" s="51"/>
      <c r="AJ185" s="55" t="str">
        <f aca="false">IF(AH185="","",EDATE(AH185,60))</f>
        <v/>
      </c>
      <c r="AK185" s="49" t="str">
        <f aca="true">IF(B185="","",IF(OR(AG185="Non",AH185=""),"FDS ABSENTE",IF(TODAY()&gt;=EDATE(AH185,60),"EXPIRÉE",IF(TODAY()&gt;=EDATE(AH185,54),"À RENOUVELER","CONFORME"))))</f>
        <v/>
      </c>
      <c r="AL185" s="50"/>
      <c r="AM185" s="54"/>
      <c r="AN185" s="54"/>
      <c r="AO185" s="50"/>
      <c r="AP185" s="50"/>
      <c r="AQ185" s="50"/>
      <c r="AR185" s="50"/>
      <c r="AS185" s="50"/>
      <c r="AT185" s="50"/>
      <c r="AU185" s="50"/>
      <c r="AV185" s="50"/>
      <c r="AW185" s="52"/>
      <c r="AX185" s="52"/>
      <c r="AY185" s="56" t="str">
        <f aca="false">IF(OR(AW185="",AX185=""),"",AW185*AX185)</f>
        <v/>
      </c>
      <c r="AZ185" s="52"/>
      <c r="BA185" s="56" t="str">
        <f aca="false">IF(AY185="","",IF(AZ185="",AY185,ROUNDUP(AY185/AZ185,0)))</f>
        <v/>
      </c>
      <c r="BB185" s="49" t="str">
        <f aca="false">IF(BA185="","",IF(BA185&gt;=15,"P1 – Critique",IF(BA185&gt;=8,"P2 – Élevée",IF(BA185&gt;=4,"P3 – Modérée","P4 – Faible"))))</f>
        <v/>
      </c>
      <c r="BC185" s="50"/>
      <c r="BD185" s="50"/>
      <c r="BE185" s="54"/>
      <c r="BF185" s="57"/>
      <c r="BG185" s="50"/>
      <c r="BH185" s="54"/>
      <c r="BI185" s="54"/>
      <c r="BJ185" s="50"/>
      <c r="BK185" s="50"/>
    </row>
    <row r="186" customFormat="false" ht="15" hidden="false" customHeight="false" outlineLevel="0" collapsed="false">
      <c r="A186" s="49" t="str">
        <f aca="false">IF(B186="","","PC-"&amp;TEXT(ROW()-2,"000"))</f>
        <v/>
      </c>
      <c r="B186" s="50"/>
      <c r="C186" s="50"/>
      <c r="D186" s="51"/>
      <c r="E186" s="51"/>
      <c r="F186" s="51"/>
      <c r="G186" s="50"/>
      <c r="H186" s="50"/>
      <c r="I186" s="50"/>
      <c r="J186" s="51"/>
      <c r="K186" s="50"/>
      <c r="L186" s="50"/>
      <c r="M186" s="50"/>
      <c r="N186" s="50"/>
      <c r="O186" s="52"/>
      <c r="P186" s="50"/>
      <c r="Q186" s="52"/>
      <c r="R186" s="52"/>
      <c r="S186" s="49" t="str">
        <f aca="false">IF(B186="","",IF(OR(O186="",R186=""),"—",IF(O186&lt;=R186,"⚠ RÉAPPRO","OK")))</f>
        <v/>
      </c>
      <c r="T186" s="50"/>
      <c r="U186" s="50"/>
      <c r="V186" s="50"/>
      <c r="W186" s="50"/>
      <c r="X186" s="50"/>
      <c r="Y186" s="53" t="str">
        <f aca="false">IF(B186="","",IF(X186="","—",IF(X186="Non classé","Non classé",IFERROR(INDEX(RefH_Classe,MATCH(TRIM(LEFT(X186,FIND(",",X186&amp;",")-1)),RefH_Code,0)),"Code H inconnu"))))</f>
        <v/>
      </c>
      <c r="Z186" s="50"/>
      <c r="AA186" s="50"/>
      <c r="AB186" s="51"/>
      <c r="AC186" s="51"/>
      <c r="AD186" s="51"/>
      <c r="AE186" s="51"/>
      <c r="AF186" s="50"/>
      <c r="AG186" s="51"/>
      <c r="AH186" s="54"/>
      <c r="AI186" s="51"/>
      <c r="AJ186" s="55" t="str">
        <f aca="false">IF(AH186="","",EDATE(AH186,60))</f>
        <v/>
      </c>
      <c r="AK186" s="49" t="str">
        <f aca="true">IF(B186="","",IF(OR(AG186="Non",AH186=""),"FDS ABSENTE",IF(TODAY()&gt;=EDATE(AH186,60),"EXPIRÉE",IF(TODAY()&gt;=EDATE(AH186,54),"À RENOUVELER","CONFORME"))))</f>
        <v/>
      </c>
      <c r="AL186" s="50"/>
      <c r="AM186" s="54"/>
      <c r="AN186" s="54"/>
      <c r="AO186" s="50"/>
      <c r="AP186" s="50"/>
      <c r="AQ186" s="50"/>
      <c r="AR186" s="50"/>
      <c r="AS186" s="50"/>
      <c r="AT186" s="50"/>
      <c r="AU186" s="50"/>
      <c r="AV186" s="50"/>
      <c r="AW186" s="52"/>
      <c r="AX186" s="52"/>
      <c r="AY186" s="56" t="str">
        <f aca="false">IF(OR(AW186="",AX186=""),"",AW186*AX186)</f>
        <v/>
      </c>
      <c r="AZ186" s="52"/>
      <c r="BA186" s="56" t="str">
        <f aca="false">IF(AY186="","",IF(AZ186="",AY186,ROUNDUP(AY186/AZ186,0)))</f>
        <v/>
      </c>
      <c r="BB186" s="49" t="str">
        <f aca="false">IF(BA186="","",IF(BA186&gt;=15,"P1 – Critique",IF(BA186&gt;=8,"P2 – Élevée",IF(BA186&gt;=4,"P3 – Modérée","P4 – Faible"))))</f>
        <v/>
      </c>
      <c r="BC186" s="50"/>
      <c r="BD186" s="50"/>
      <c r="BE186" s="54"/>
      <c r="BF186" s="57"/>
      <c r="BG186" s="50"/>
      <c r="BH186" s="54"/>
      <c r="BI186" s="54"/>
      <c r="BJ186" s="50"/>
      <c r="BK186" s="50"/>
    </row>
    <row r="187" customFormat="false" ht="15" hidden="false" customHeight="false" outlineLevel="0" collapsed="false">
      <c r="A187" s="49" t="str">
        <f aca="false">IF(B187="","","PC-"&amp;TEXT(ROW()-2,"000"))</f>
        <v/>
      </c>
      <c r="B187" s="50"/>
      <c r="C187" s="50"/>
      <c r="D187" s="51"/>
      <c r="E187" s="51"/>
      <c r="F187" s="51"/>
      <c r="G187" s="50"/>
      <c r="H187" s="50"/>
      <c r="I187" s="50"/>
      <c r="J187" s="51"/>
      <c r="K187" s="50"/>
      <c r="L187" s="50"/>
      <c r="M187" s="50"/>
      <c r="N187" s="50"/>
      <c r="O187" s="52"/>
      <c r="P187" s="50"/>
      <c r="Q187" s="52"/>
      <c r="R187" s="52"/>
      <c r="S187" s="49" t="str">
        <f aca="false">IF(B187="","",IF(OR(O187="",R187=""),"—",IF(O187&lt;=R187,"⚠ RÉAPPRO","OK")))</f>
        <v/>
      </c>
      <c r="T187" s="50"/>
      <c r="U187" s="50"/>
      <c r="V187" s="50"/>
      <c r="W187" s="50"/>
      <c r="X187" s="50"/>
      <c r="Y187" s="53" t="str">
        <f aca="false">IF(B187="","",IF(X187="","—",IF(X187="Non classé","Non classé",IFERROR(INDEX(RefH_Classe,MATCH(TRIM(LEFT(X187,FIND(",",X187&amp;",")-1)),RefH_Code,0)),"Code H inconnu"))))</f>
        <v/>
      </c>
      <c r="Z187" s="50"/>
      <c r="AA187" s="50"/>
      <c r="AB187" s="51"/>
      <c r="AC187" s="51"/>
      <c r="AD187" s="51"/>
      <c r="AE187" s="51"/>
      <c r="AF187" s="50"/>
      <c r="AG187" s="51"/>
      <c r="AH187" s="54"/>
      <c r="AI187" s="51"/>
      <c r="AJ187" s="55" t="str">
        <f aca="false">IF(AH187="","",EDATE(AH187,60))</f>
        <v/>
      </c>
      <c r="AK187" s="49" t="str">
        <f aca="true">IF(B187="","",IF(OR(AG187="Non",AH187=""),"FDS ABSENTE",IF(TODAY()&gt;=EDATE(AH187,60),"EXPIRÉE",IF(TODAY()&gt;=EDATE(AH187,54),"À RENOUVELER","CONFORME"))))</f>
        <v/>
      </c>
      <c r="AL187" s="50"/>
      <c r="AM187" s="54"/>
      <c r="AN187" s="54"/>
      <c r="AO187" s="50"/>
      <c r="AP187" s="50"/>
      <c r="AQ187" s="50"/>
      <c r="AR187" s="50"/>
      <c r="AS187" s="50"/>
      <c r="AT187" s="50"/>
      <c r="AU187" s="50"/>
      <c r="AV187" s="50"/>
      <c r="AW187" s="52"/>
      <c r="AX187" s="52"/>
      <c r="AY187" s="56" t="str">
        <f aca="false">IF(OR(AW187="",AX187=""),"",AW187*AX187)</f>
        <v/>
      </c>
      <c r="AZ187" s="52"/>
      <c r="BA187" s="56" t="str">
        <f aca="false">IF(AY187="","",IF(AZ187="",AY187,ROUNDUP(AY187/AZ187,0)))</f>
        <v/>
      </c>
      <c r="BB187" s="49" t="str">
        <f aca="false">IF(BA187="","",IF(BA187&gt;=15,"P1 – Critique",IF(BA187&gt;=8,"P2 – Élevée",IF(BA187&gt;=4,"P3 – Modérée","P4 – Faible"))))</f>
        <v/>
      </c>
      <c r="BC187" s="50"/>
      <c r="BD187" s="50"/>
      <c r="BE187" s="54"/>
      <c r="BF187" s="57"/>
      <c r="BG187" s="50"/>
      <c r="BH187" s="54"/>
      <c r="BI187" s="54"/>
      <c r="BJ187" s="50"/>
      <c r="BK187" s="50"/>
    </row>
    <row r="188" customFormat="false" ht="15" hidden="false" customHeight="false" outlineLevel="0" collapsed="false">
      <c r="A188" s="49" t="str">
        <f aca="false">IF(B188="","","PC-"&amp;TEXT(ROW()-2,"000"))</f>
        <v/>
      </c>
      <c r="B188" s="50"/>
      <c r="C188" s="50"/>
      <c r="D188" s="51"/>
      <c r="E188" s="51"/>
      <c r="F188" s="51"/>
      <c r="G188" s="50"/>
      <c r="H188" s="50"/>
      <c r="I188" s="50"/>
      <c r="J188" s="51"/>
      <c r="K188" s="50"/>
      <c r="L188" s="50"/>
      <c r="M188" s="50"/>
      <c r="N188" s="50"/>
      <c r="O188" s="52"/>
      <c r="P188" s="50"/>
      <c r="Q188" s="52"/>
      <c r="R188" s="52"/>
      <c r="S188" s="49" t="str">
        <f aca="false">IF(B188="","",IF(OR(O188="",R188=""),"—",IF(O188&lt;=R188,"⚠ RÉAPPRO","OK")))</f>
        <v/>
      </c>
      <c r="T188" s="50"/>
      <c r="U188" s="50"/>
      <c r="V188" s="50"/>
      <c r="W188" s="50"/>
      <c r="X188" s="50"/>
      <c r="Y188" s="53" t="str">
        <f aca="false">IF(B188="","",IF(X188="","—",IF(X188="Non classé","Non classé",IFERROR(INDEX(RefH_Classe,MATCH(TRIM(LEFT(X188,FIND(",",X188&amp;",")-1)),RefH_Code,0)),"Code H inconnu"))))</f>
        <v/>
      </c>
      <c r="Z188" s="50"/>
      <c r="AA188" s="50"/>
      <c r="AB188" s="51"/>
      <c r="AC188" s="51"/>
      <c r="AD188" s="51"/>
      <c r="AE188" s="51"/>
      <c r="AF188" s="50"/>
      <c r="AG188" s="51"/>
      <c r="AH188" s="54"/>
      <c r="AI188" s="51"/>
      <c r="AJ188" s="55" t="str">
        <f aca="false">IF(AH188="","",EDATE(AH188,60))</f>
        <v/>
      </c>
      <c r="AK188" s="49" t="str">
        <f aca="true">IF(B188="","",IF(OR(AG188="Non",AH188=""),"FDS ABSENTE",IF(TODAY()&gt;=EDATE(AH188,60),"EXPIRÉE",IF(TODAY()&gt;=EDATE(AH188,54),"À RENOUVELER","CONFORME"))))</f>
        <v/>
      </c>
      <c r="AL188" s="50"/>
      <c r="AM188" s="54"/>
      <c r="AN188" s="54"/>
      <c r="AO188" s="50"/>
      <c r="AP188" s="50"/>
      <c r="AQ188" s="50"/>
      <c r="AR188" s="50"/>
      <c r="AS188" s="50"/>
      <c r="AT188" s="50"/>
      <c r="AU188" s="50"/>
      <c r="AV188" s="50"/>
      <c r="AW188" s="52"/>
      <c r="AX188" s="52"/>
      <c r="AY188" s="56" t="str">
        <f aca="false">IF(OR(AW188="",AX188=""),"",AW188*AX188)</f>
        <v/>
      </c>
      <c r="AZ188" s="52"/>
      <c r="BA188" s="56" t="str">
        <f aca="false">IF(AY188="","",IF(AZ188="",AY188,ROUNDUP(AY188/AZ188,0)))</f>
        <v/>
      </c>
      <c r="BB188" s="49" t="str">
        <f aca="false">IF(BA188="","",IF(BA188&gt;=15,"P1 – Critique",IF(BA188&gt;=8,"P2 – Élevée",IF(BA188&gt;=4,"P3 – Modérée","P4 – Faible"))))</f>
        <v/>
      </c>
      <c r="BC188" s="50"/>
      <c r="BD188" s="50"/>
      <c r="BE188" s="54"/>
      <c r="BF188" s="57"/>
      <c r="BG188" s="50"/>
      <c r="BH188" s="54"/>
      <c r="BI188" s="54"/>
      <c r="BJ188" s="50"/>
      <c r="BK188" s="50"/>
    </row>
    <row r="189" customFormat="false" ht="15" hidden="false" customHeight="false" outlineLevel="0" collapsed="false">
      <c r="A189" s="49" t="str">
        <f aca="false">IF(B189="","","PC-"&amp;TEXT(ROW()-2,"000"))</f>
        <v/>
      </c>
      <c r="B189" s="50"/>
      <c r="C189" s="50"/>
      <c r="D189" s="51"/>
      <c r="E189" s="51"/>
      <c r="F189" s="51"/>
      <c r="G189" s="50"/>
      <c r="H189" s="50"/>
      <c r="I189" s="50"/>
      <c r="J189" s="51"/>
      <c r="K189" s="50"/>
      <c r="L189" s="50"/>
      <c r="M189" s="50"/>
      <c r="N189" s="50"/>
      <c r="O189" s="52"/>
      <c r="P189" s="50"/>
      <c r="Q189" s="52"/>
      <c r="R189" s="52"/>
      <c r="S189" s="49" t="str">
        <f aca="false">IF(B189="","",IF(OR(O189="",R189=""),"—",IF(O189&lt;=R189,"⚠ RÉAPPRO","OK")))</f>
        <v/>
      </c>
      <c r="T189" s="50"/>
      <c r="U189" s="50"/>
      <c r="V189" s="50"/>
      <c r="W189" s="50"/>
      <c r="X189" s="50"/>
      <c r="Y189" s="53" t="str">
        <f aca="false">IF(B189="","",IF(X189="","—",IF(X189="Non classé","Non classé",IFERROR(INDEX(RefH_Classe,MATCH(TRIM(LEFT(X189,FIND(",",X189&amp;",")-1)),RefH_Code,0)),"Code H inconnu"))))</f>
        <v/>
      </c>
      <c r="Z189" s="50"/>
      <c r="AA189" s="50"/>
      <c r="AB189" s="51"/>
      <c r="AC189" s="51"/>
      <c r="AD189" s="51"/>
      <c r="AE189" s="51"/>
      <c r="AF189" s="50"/>
      <c r="AG189" s="51"/>
      <c r="AH189" s="54"/>
      <c r="AI189" s="51"/>
      <c r="AJ189" s="55" t="str">
        <f aca="false">IF(AH189="","",EDATE(AH189,60))</f>
        <v/>
      </c>
      <c r="AK189" s="49" t="str">
        <f aca="true">IF(B189="","",IF(OR(AG189="Non",AH189=""),"FDS ABSENTE",IF(TODAY()&gt;=EDATE(AH189,60),"EXPIRÉE",IF(TODAY()&gt;=EDATE(AH189,54),"À RENOUVELER","CONFORME"))))</f>
        <v/>
      </c>
      <c r="AL189" s="50"/>
      <c r="AM189" s="54"/>
      <c r="AN189" s="54"/>
      <c r="AO189" s="50"/>
      <c r="AP189" s="50"/>
      <c r="AQ189" s="50"/>
      <c r="AR189" s="50"/>
      <c r="AS189" s="50"/>
      <c r="AT189" s="50"/>
      <c r="AU189" s="50"/>
      <c r="AV189" s="50"/>
      <c r="AW189" s="52"/>
      <c r="AX189" s="52"/>
      <c r="AY189" s="56" t="str">
        <f aca="false">IF(OR(AW189="",AX189=""),"",AW189*AX189)</f>
        <v/>
      </c>
      <c r="AZ189" s="52"/>
      <c r="BA189" s="56" t="str">
        <f aca="false">IF(AY189="","",IF(AZ189="",AY189,ROUNDUP(AY189/AZ189,0)))</f>
        <v/>
      </c>
      <c r="BB189" s="49" t="str">
        <f aca="false">IF(BA189="","",IF(BA189&gt;=15,"P1 – Critique",IF(BA189&gt;=8,"P2 – Élevée",IF(BA189&gt;=4,"P3 – Modérée","P4 – Faible"))))</f>
        <v/>
      </c>
      <c r="BC189" s="50"/>
      <c r="BD189" s="50"/>
      <c r="BE189" s="54"/>
      <c r="BF189" s="57"/>
      <c r="BG189" s="50"/>
      <c r="BH189" s="54"/>
      <c r="BI189" s="54"/>
      <c r="BJ189" s="50"/>
      <c r="BK189" s="50"/>
    </row>
    <row r="190" customFormat="false" ht="15" hidden="false" customHeight="false" outlineLevel="0" collapsed="false">
      <c r="A190" s="49" t="str">
        <f aca="false">IF(B190="","","PC-"&amp;TEXT(ROW()-2,"000"))</f>
        <v/>
      </c>
      <c r="B190" s="50"/>
      <c r="C190" s="50"/>
      <c r="D190" s="51"/>
      <c r="E190" s="51"/>
      <c r="F190" s="51"/>
      <c r="G190" s="50"/>
      <c r="H190" s="50"/>
      <c r="I190" s="50"/>
      <c r="J190" s="51"/>
      <c r="K190" s="50"/>
      <c r="L190" s="50"/>
      <c r="M190" s="50"/>
      <c r="N190" s="50"/>
      <c r="O190" s="52"/>
      <c r="P190" s="50"/>
      <c r="Q190" s="52"/>
      <c r="R190" s="52"/>
      <c r="S190" s="49" t="str">
        <f aca="false">IF(B190="","",IF(OR(O190="",R190=""),"—",IF(O190&lt;=R190,"⚠ RÉAPPRO","OK")))</f>
        <v/>
      </c>
      <c r="T190" s="50"/>
      <c r="U190" s="50"/>
      <c r="V190" s="50"/>
      <c r="W190" s="50"/>
      <c r="X190" s="50"/>
      <c r="Y190" s="53" t="str">
        <f aca="false">IF(B190="","",IF(X190="","—",IF(X190="Non classé","Non classé",IFERROR(INDEX(RefH_Classe,MATCH(TRIM(LEFT(X190,FIND(",",X190&amp;",")-1)),RefH_Code,0)),"Code H inconnu"))))</f>
        <v/>
      </c>
      <c r="Z190" s="50"/>
      <c r="AA190" s="50"/>
      <c r="AB190" s="51"/>
      <c r="AC190" s="51"/>
      <c r="AD190" s="51"/>
      <c r="AE190" s="51"/>
      <c r="AF190" s="50"/>
      <c r="AG190" s="51"/>
      <c r="AH190" s="54"/>
      <c r="AI190" s="51"/>
      <c r="AJ190" s="55" t="str">
        <f aca="false">IF(AH190="","",EDATE(AH190,60))</f>
        <v/>
      </c>
      <c r="AK190" s="49" t="str">
        <f aca="true">IF(B190="","",IF(OR(AG190="Non",AH190=""),"FDS ABSENTE",IF(TODAY()&gt;=EDATE(AH190,60),"EXPIRÉE",IF(TODAY()&gt;=EDATE(AH190,54),"À RENOUVELER","CONFORME"))))</f>
        <v/>
      </c>
      <c r="AL190" s="50"/>
      <c r="AM190" s="54"/>
      <c r="AN190" s="54"/>
      <c r="AO190" s="50"/>
      <c r="AP190" s="50"/>
      <c r="AQ190" s="50"/>
      <c r="AR190" s="50"/>
      <c r="AS190" s="50"/>
      <c r="AT190" s="50"/>
      <c r="AU190" s="50"/>
      <c r="AV190" s="50"/>
      <c r="AW190" s="52"/>
      <c r="AX190" s="52"/>
      <c r="AY190" s="56" t="str">
        <f aca="false">IF(OR(AW190="",AX190=""),"",AW190*AX190)</f>
        <v/>
      </c>
      <c r="AZ190" s="52"/>
      <c r="BA190" s="56" t="str">
        <f aca="false">IF(AY190="","",IF(AZ190="",AY190,ROUNDUP(AY190/AZ190,0)))</f>
        <v/>
      </c>
      <c r="BB190" s="49" t="str">
        <f aca="false">IF(BA190="","",IF(BA190&gt;=15,"P1 – Critique",IF(BA190&gt;=8,"P2 – Élevée",IF(BA190&gt;=4,"P3 – Modérée","P4 – Faible"))))</f>
        <v/>
      </c>
      <c r="BC190" s="50"/>
      <c r="BD190" s="50"/>
      <c r="BE190" s="54"/>
      <c r="BF190" s="57"/>
      <c r="BG190" s="50"/>
      <c r="BH190" s="54"/>
      <c r="BI190" s="54"/>
      <c r="BJ190" s="50"/>
      <c r="BK190" s="50"/>
    </row>
    <row r="191" customFormat="false" ht="15" hidden="false" customHeight="false" outlineLevel="0" collapsed="false">
      <c r="A191" s="49" t="str">
        <f aca="false">IF(B191="","","PC-"&amp;TEXT(ROW()-2,"000"))</f>
        <v/>
      </c>
      <c r="B191" s="50"/>
      <c r="C191" s="50"/>
      <c r="D191" s="51"/>
      <c r="E191" s="51"/>
      <c r="F191" s="51"/>
      <c r="G191" s="50"/>
      <c r="H191" s="50"/>
      <c r="I191" s="50"/>
      <c r="J191" s="51"/>
      <c r="K191" s="50"/>
      <c r="L191" s="50"/>
      <c r="M191" s="50"/>
      <c r="N191" s="50"/>
      <c r="O191" s="52"/>
      <c r="P191" s="50"/>
      <c r="Q191" s="52"/>
      <c r="R191" s="52"/>
      <c r="S191" s="49" t="str">
        <f aca="false">IF(B191="","",IF(OR(O191="",R191=""),"—",IF(O191&lt;=R191,"⚠ RÉAPPRO","OK")))</f>
        <v/>
      </c>
      <c r="T191" s="50"/>
      <c r="U191" s="50"/>
      <c r="V191" s="50"/>
      <c r="W191" s="50"/>
      <c r="X191" s="50"/>
      <c r="Y191" s="53" t="str">
        <f aca="false">IF(B191="","",IF(X191="","—",IF(X191="Non classé","Non classé",IFERROR(INDEX(RefH_Classe,MATCH(TRIM(LEFT(X191,FIND(",",X191&amp;",")-1)),RefH_Code,0)),"Code H inconnu"))))</f>
        <v/>
      </c>
      <c r="Z191" s="50"/>
      <c r="AA191" s="50"/>
      <c r="AB191" s="51"/>
      <c r="AC191" s="51"/>
      <c r="AD191" s="51"/>
      <c r="AE191" s="51"/>
      <c r="AF191" s="50"/>
      <c r="AG191" s="51"/>
      <c r="AH191" s="54"/>
      <c r="AI191" s="51"/>
      <c r="AJ191" s="55" t="str">
        <f aca="false">IF(AH191="","",EDATE(AH191,60))</f>
        <v/>
      </c>
      <c r="AK191" s="49" t="str">
        <f aca="true">IF(B191="","",IF(OR(AG191="Non",AH191=""),"FDS ABSENTE",IF(TODAY()&gt;=EDATE(AH191,60),"EXPIRÉE",IF(TODAY()&gt;=EDATE(AH191,54),"À RENOUVELER","CONFORME"))))</f>
        <v/>
      </c>
      <c r="AL191" s="50"/>
      <c r="AM191" s="54"/>
      <c r="AN191" s="54"/>
      <c r="AO191" s="50"/>
      <c r="AP191" s="50"/>
      <c r="AQ191" s="50"/>
      <c r="AR191" s="50"/>
      <c r="AS191" s="50"/>
      <c r="AT191" s="50"/>
      <c r="AU191" s="50"/>
      <c r="AV191" s="50"/>
      <c r="AW191" s="52"/>
      <c r="AX191" s="52"/>
      <c r="AY191" s="56" t="str">
        <f aca="false">IF(OR(AW191="",AX191=""),"",AW191*AX191)</f>
        <v/>
      </c>
      <c r="AZ191" s="52"/>
      <c r="BA191" s="56" t="str">
        <f aca="false">IF(AY191="","",IF(AZ191="",AY191,ROUNDUP(AY191/AZ191,0)))</f>
        <v/>
      </c>
      <c r="BB191" s="49" t="str">
        <f aca="false">IF(BA191="","",IF(BA191&gt;=15,"P1 – Critique",IF(BA191&gt;=8,"P2 – Élevée",IF(BA191&gt;=4,"P3 – Modérée","P4 – Faible"))))</f>
        <v/>
      </c>
      <c r="BC191" s="50"/>
      <c r="BD191" s="50"/>
      <c r="BE191" s="54"/>
      <c r="BF191" s="57"/>
      <c r="BG191" s="50"/>
      <c r="BH191" s="54"/>
      <c r="BI191" s="54"/>
      <c r="BJ191" s="50"/>
      <c r="BK191" s="50"/>
    </row>
    <row r="192" customFormat="false" ht="15" hidden="false" customHeight="false" outlineLevel="0" collapsed="false">
      <c r="A192" s="49" t="str">
        <f aca="false">IF(B192="","","PC-"&amp;TEXT(ROW()-2,"000"))</f>
        <v/>
      </c>
      <c r="B192" s="50"/>
      <c r="C192" s="50"/>
      <c r="D192" s="51"/>
      <c r="E192" s="51"/>
      <c r="F192" s="51"/>
      <c r="G192" s="50"/>
      <c r="H192" s="50"/>
      <c r="I192" s="50"/>
      <c r="J192" s="51"/>
      <c r="K192" s="50"/>
      <c r="L192" s="50"/>
      <c r="M192" s="50"/>
      <c r="N192" s="50"/>
      <c r="O192" s="52"/>
      <c r="P192" s="50"/>
      <c r="Q192" s="52"/>
      <c r="R192" s="52"/>
      <c r="S192" s="49" t="str">
        <f aca="false">IF(B192="","",IF(OR(O192="",R192=""),"—",IF(O192&lt;=R192,"⚠ RÉAPPRO","OK")))</f>
        <v/>
      </c>
      <c r="T192" s="50"/>
      <c r="U192" s="50"/>
      <c r="V192" s="50"/>
      <c r="W192" s="50"/>
      <c r="X192" s="50"/>
      <c r="Y192" s="53" t="str">
        <f aca="false">IF(B192="","",IF(X192="","—",IF(X192="Non classé","Non classé",IFERROR(INDEX(RefH_Classe,MATCH(TRIM(LEFT(X192,FIND(",",X192&amp;",")-1)),RefH_Code,0)),"Code H inconnu"))))</f>
        <v/>
      </c>
      <c r="Z192" s="50"/>
      <c r="AA192" s="50"/>
      <c r="AB192" s="51"/>
      <c r="AC192" s="51"/>
      <c r="AD192" s="51"/>
      <c r="AE192" s="51"/>
      <c r="AF192" s="50"/>
      <c r="AG192" s="51"/>
      <c r="AH192" s="54"/>
      <c r="AI192" s="51"/>
      <c r="AJ192" s="55" t="str">
        <f aca="false">IF(AH192="","",EDATE(AH192,60))</f>
        <v/>
      </c>
      <c r="AK192" s="49" t="str">
        <f aca="true">IF(B192="","",IF(OR(AG192="Non",AH192=""),"FDS ABSENTE",IF(TODAY()&gt;=EDATE(AH192,60),"EXPIRÉE",IF(TODAY()&gt;=EDATE(AH192,54),"À RENOUVELER","CONFORME"))))</f>
        <v/>
      </c>
      <c r="AL192" s="50"/>
      <c r="AM192" s="54"/>
      <c r="AN192" s="54"/>
      <c r="AO192" s="50"/>
      <c r="AP192" s="50"/>
      <c r="AQ192" s="50"/>
      <c r="AR192" s="50"/>
      <c r="AS192" s="50"/>
      <c r="AT192" s="50"/>
      <c r="AU192" s="50"/>
      <c r="AV192" s="50"/>
      <c r="AW192" s="52"/>
      <c r="AX192" s="52"/>
      <c r="AY192" s="56" t="str">
        <f aca="false">IF(OR(AW192="",AX192=""),"",AW192*AX192)</f>
        <v/>
      </c>
      <c r="AZ192" s="52"/>
      <c r="BA192" s="56" t="str">
        <f aca="false">IF(AY192="","",IF(AZ192="",AY192,ROUNDUP(AY192/AZ192,0)))</f>
        <v/>
      </c>
      <c r="BB192" s="49" t="str">
        <f aca="false">IF(BA192="","",IF(BA192&gt;=15,"P1 – Critique",IF(BA192&gt;=8,"P2 – Élevée",IF(BA192&gt;=4,"P3 – Modérée","P4 – Faible"))))</f>
        <v/>
      </c>
      <c r="BC192" s="50"/>
      <c r="BD192" s="50"/>
      <c r="BE192" s="54"/>
      <c r="BF192" s="57"/>
      <c r="BG192" s="50"/>
      <c r="BH192" s="54"/>
      <c r="BI192" s="54"/>
      <c r="BJ192" s="50"/>
      <c r="BK192" s="50"/>
    </row>
    <row r="193" customFormat="false" ht="15" hidden="false" customHeight="false" outlineLevel="0" collapsed="false">
      <c r="A193" s="49" t="str">
        <f aca="false">IF(B193="","","PC-"&amp;TEXT(ROW()-2,"000"))</f>
        <v/>
      </c>
      <c r="B193" s="50"/>
      <c r="C193" s="50"/>
      <c r="D193" s="51"/>
      <c r="E193" s="51"/>
      <c r="F193" s="51"/>
      <c r="G193" s="50"/>
      <c r="H193" s="50"/>
      <c r="I193" s="50"/>
      <c r="J193" s="51"/>
      <c r="K193" s="50"/>
      <c r="L193" s="50"/>
      <c r="M193" s="50"/>
      <c r="N193" s="50"/>
      <c r="O193" s="52"/>
      <c r="P193" s="50"/>
      <c r="Q193" s="52"/>
      <c r="R193" s="52"/>
      <c r="S193" s="49" t="str">
        <f aca="false">IF(B193="","",IF(OR(O193="",R193=""),"—",IF(O193&lt;=R193,"⚠ RÉAPPRO","OK")))</f>
        <v/>
      </c>
      <c r="T193" s="50"/>
      <c r="U193" s="50"/>
      <c r="V193" s="50"/>
      <c r="W193" s="50"/>
      <c r="X193" s="50"/>
      <c r="Y193" s="53" t="str">
        <f aca="false">IF(B193="","",IF(X193="","—",IF(X193="Non classé","Non classé",IFERROR(INDEX(RefH_Classe,MATCH(TRIM(LEFT(X193,FIND(",",X193&amp;",")-1)),RefH_Code,0)),"Code H inconnu"))))</f>
        <v/>
      </c>
      <c r="Z193" s="50"/>
      <c r="AA193" s="50"/>
      <c r="AB193" s="51"/>
      <c r="AC193" s="51"/>
      <c r="AD193" s="51"/>
      <c r="AE193" s="51"/>
      <c r="AF193" s="50"/>
      <c r="AG193" s="51"/>
      <c r="AH193" s="54"/>
      <c r="AI193" s="51"/>
      <c r="AJ193" s="55" t="str">
        <f aca="false">IF(AH193="","",EDATE(AH193,60))</f>
        <v/>
      </c>
      <c r="AK193" s="49" t="str">
        <f aca="true">IF(B193="","",IF(OR(AG193="Non",AH193=""),"FDS ABSENTE",IF(TODAY()&gt;=EDATE(AH193,60),"EXPIRÉE",IF(TODAY()&gt;=EDATE(AH193,54),"À RENOUVELER","CONFORME"))))</f>
        <v/>
      </c>
      <c r="AL193" s="50"/>
      <c r="AM193" s="54"/>
      <c r="AN193" s="54"/>
      <c r="AO193" s="50"/>
      <c r="AP193" s="50"/>
      <c r="AQ193" s="50"/>
      <c r="AR193" s="50"/>
      <c r="AS193" s="50"/>
      <c r="AT193" s="50"/>
      <c r="AU193" s="50"/>
      <c r="AV193" s="50"/>
      <c r="AW193" s="52"/>
      <c r="AX193" s="52"/>
      <c r="AY193" s="56" t="str">
        <f aca="false">IF(OR(AW193="",AX193=""),"",AW193*AX193)</f>
        <v/>
      </c>
      <c r="AZ193" s="52"/>
      <c r="BA193" s="56" t="str">
        <f aca="false">IF(AY193="","",IF(AZ193="",AY193,ROUNDUP(AY193/AZ193,0)))</f>
        <v/>
      </c>
      <c r="BB193" s="49" t="str">
        <f aca="false">IF(BA193="","",IF(BA193&gt;=15,"P1 – Critique",IF(BA193&gt;=8,"P2 – Élevée",IF(BA193&gt;=4,"P3 – Modérée","P4 – Faible"))))</f>
        <v/>
      </c>
      <c r="BC193" s="50"/>
      <c r="BD193" s="50"/>
      <c r="BE193" s="54"/>
      <c r="BF193" s="57"/>
      <c r="BG193" s="50"/>
      <c r="BH193" s="54"/>
      <c r="BI193" s="54"/>
      <c r="BJ193" s="50"/>
      <c r="BK193" s="50"/>
    </row>
    <row r="194" customFormat="false" ht="15" hidden="false" customHeight="false" outlineLevel="0" collapsed="false">
      <c r="A194" s="49" t="str">
        <f aca="false">IF(B194="","","PC-"&amp;TEXT(ROW()-2,"000"))</f>
        <v/>
      </c>
      <c r="B194" s="50"/>
      <c r="C194" s="50"/>
      <c r="D194" s="51"/>
      <c r="E194" s="51"/>
      <c r="F194" s="51"/>
      <c r="G194" s="50"/>
      <c r="H194" s="50"/>
      <c r="I194" s="50"/>
      <c r="J194" s="51"/>
      <c r="K194" s="50"/>
      <c r="L194" s="50"/>
      <c r="M194" s="50"/>
      <c r="N194" s="50"/>
      <c r="O194" s="52"/>
      <c r="P194" s="50"/>
      <c r="Q194" s="52"/>
      <c r="R194" s="52"/>
      <c r="S194" s="49" t="str">
        <f aca="false">IF(B194="","",IF(OR(O194="",R194=""),"—",IF(O194&lt;=R194,"⚠ RÉAPPRO","OK")))</f>
        <v/>
      </c>
      <c r="T194" s="50"/>
      <c r="U194" s="50"/>
      <c r="V194" s="50"/>
      <c r="W194" s="50"/>
      <c r="X194" s="50"/>
      <c r="Y194" s="53" t="str">
        <f aca="false">IF(B194="","",IF(X194="","—",IF(X194="Non classé","Non classé",IFERROR(INDEX(RefH_Classe,MATCH(TRIM(LEFT(X194,FIND(",",X194&amp;",")-1)),RefH_Code,0)),"Code H inconnu"))))</f>
        <v/>
      </c>
      <c r="Z194" s="50"/>
      <c r="AA194" s="50"/>
      <c r="AB194" s="51"/>
      <c r="AC194" s="51"/>
      <c r="AD194" s="51"/>
      <c r="AE194" s="51"/>
      <c r="AF194" s="50"/>
      <c r="AG194" s="51"/>
      <c r="AH194" s="54"/>
      <c r="AI194" s="51"/>
      <c r="AJ194" s="55" t="str">
        <f aca="false">IF(AH194="","",EDATE(AH194,60))</f>
        <v/>
      </c>
      <c r="AK194" s="49" t="str">
        <f aca="true">IF(B194="","",IF(OR(AG194="Non",AH194=""),"FDS ABSENTE",IF(TODAY()&gt;=EDATE(AH194,60),"EXPIRÉE",IF(TODAY()&gt;=EDATE(AH194,54),"À RENOUVELER","CONFORME"))))</f>
        <v/>
      </c>
      <c r="AL194" s="50"/>
      <c r="AM194" s="54"/>
      <c r="AN194" s="54"/>
      <c r="AO194" s="50"/>
      <c r="AP194" s="50"/>
      <c r="AQ194" s="50"/>
      <c r="AR194" s="50"/>
      <c r="AS194" s="50"/>
      <c r="AT194" s="50"/>
      <c r="AU194" s="50"/>
      <c r="AV194" s="50"/>
      <c r="AW194" s="52"/>
      <c r="AX194" s="52"/>
      <c r="AY194" s="56" t="str">
        <f aca="false">IF(OR(AW194="",AX194=""),"",AW194*AX194)</f>
        <v/>
      </c>
      <c r="AZ194" s="52"/>
      <c r="BA194" s="56" t="str">
        <f aca="false">IF(AY194="","",IF(AZ194="",AY194,ROUNDUP(AY194/AZ194,0)))</f>
        <v/>
      </c>
      <c r="BB194" s="49" t="str">
        <f aca="false">IF(BA194="","",IF(BA194&gt;=15,"P1 – Critique",IF(BA194&gt;=8,"P2 – Élevée",IF(BA194&gt;=4,"P3 – Modérée","P4 – Faible"))))</f>
        <v/>
      </c>
      <c r="BC194" s="50"/>
      <c r="BD194" s="50"/>
      <c r="BE194" s="54"/>
      <c r="BF194" s="57"/>
      <c r="BG194" s="50"/>
      <c r="BH194" s="54"/>
      <c r="BI194" s="54"/>
      <c r="BJ194" s="50"/>
      <c r="BK194" s="50"/>
    </row>
    <row r="195" customFormat="false" ht="15" hidden="false" customHeight="false" outlineLevel="0" collapsed="false">
      <c r="A195" s="49" t="str">
        <f aca="false">IF(B195="","","PC-"&amp;TEXT(ROW()-2,"000"))</f>
        <v/>
      </c>
      <c r="B195" s="50"/>
      <c r="C195" s="50"/>
      <c r="D195" s="51"/>
      <c r="E195" s="51"/>
      <c r="F195" s="51"/>
      <c r="G195" s="50"/>
      <c r="H195" s="50"/>
      <c r="I195" s="50"/>
      <c r="J195" s="51"/>
      <c r="K195" s="50"/>
      <c r="L195" s="50"/>
      <c r="M195" s="50"/>
      <c r="N195" s="50"/>
      <c r="O195" s="52"/>
      <c r="P195" s="50"/>
      <c r="Q195" s="52"/>
      <c r="R195" s="52"/>
      <c r="S195" s="49" t="str">
        <f aca="false">IF(B195="","",IF(OR(O195="",R195=""),"—",IF(O195&lt;=R195,"⚠ RÉAPPRO","OK")))</f>
        <v/>
      </c>
      <c r="T195" s="50"/>
      <c r="U195" s="50"/>
      <c r="V195" s="50"/>
      <c r="W195" s="50"/>
      <c r="X195" s="50"/>
      <c r="Y195" s="53" t="str">
        <f aca="false">IF(B195="","",IF(X195="","—",IF(X195="Non classé","Non classé",IFERROR(INDEX(RefH_Classe,MATCH(TRIM(LEFT(X195,FIND(",",X195&amp;",")-1)),RefH_Code,0)),"Code H inconnu"))))</f>
        <v/>
      </c>
      <c r="Z195" s="50"/>
      <c r="AA195" s="50"/>
      <c r="AB195" s="51"/>
      <c r="AC195" s="51"/>
      <c r="AD195" s="51"/>
      <c r="AE195" s="51"/>
      <c r="AF195" s="50"/>
      <c r="AG195" s="51"/>
      <c r="AH195" s="54"/>
      <c r="AI195" s="51"/>
      <c r="AJ195" s="55" t="str">
        <f aca="false">IF(AH195="","",EDATE(AH195,60))</f>
        <v/>
      </c>
      <c r="AK195" s="49" t="str">
        <f aca="true">IF(B195="","",IF(OR(AG195="Non",AH195=""),"FDS ABSENTE",IF(TODAY()&gt;=EDATE(AH195,60),"EXPIRÉE",IF(TODAY()&gt;=EDATE(AH195,54),"À RENOUVELER","CONFORME"))))</f>
        <v/>
      </c>
      <c r="AL195" s="50"/>
      <c r="AM195" s="54"/>
      <c r="AN195" s="54"/>
      <c r="AO195" s="50"/>
      <c r="AP195" s="50"/>
      <c r="AQ195" s="50"/>
      <c r="AR195" s="50"/>
      <c r="AS195" s="50"/>
      <c r="AT195" s="50"/>
      <c r="AU195" s="50"/>
      <c r="AV195" s="50"/>
      <c r="AW195" s="52"/>
      <c r="AX195" s="52"/>
      <c r="AY195" s="56" t="str">
        <f aca="false">IF(OR(AW195="",AX195=""),"",AW195*AX195)</f>
        <v/>
      </c>
      <c r="AZ195" s="52"/>
      <c r="BA195" s="56" t="str">
        <f aca="false">IF(AY195="","",IF(AZ195="",AY195,ROUNDUP(AY195/AZ195,0)))</f>
        <v/>
      </c>
      <c r="BB195" s="49" t="str">
        <f aca="false">IF(BA195="","",IF(BA195&gt;=15,"P1 – Critique",IF(BA195&gt;=8,"P2 – Élevée",IF(BA195&gt;=4,"P3 – Modérée","P4 – Faible"))))</f>
        <v/>
      </c>
      <c r="BC195" s="50"/>
      <c r="BD195" s="50"/>
      <c r="BE195" s="54"/>
      <c r="BF195" s="57"/>
      <c r="BG195" s="50"/>
      <c r="BH195" s="54"/>
      <c r="BI195" s="54"/>
      <c r="BJ195" s="50"/>
      <c r="BK195" s="50"/>
    </row>
    <row r="196" customFormat="false" ht="15" hidden="false" customHeight="false" outlineLevel="0" collapsed="false">
      <c r="A196" s="49" t="str">
        <f aca="false">IF(B196="","","PC-"&amp;TEXT(ROW()-2,"000"))</f>
        <v/>
      </c>
      <c r="B196" s="50"/>
      <c r="C196" s="50"/>
      <c r="D196" s="51"/>
      <c r="E196" s="51"/>
      <c r="F196" s="51"/>
      <c r="G196" s="50"/>
      <c r="H196" s="50"/>
      <c r="I196" s="50"/>
      <c r="J196" s="51"/>
      <c r="K196" s="50"/>
      <c r="L196" s="50"/>
      <c r="M196" s="50"/>
      <c r="N196" s="50"/>
      <c r="O196" s="52"/>
      <c r="P196" s="50"/>
      <c r="Q196" s="52"/>
      <c r="R196" s="52"/>
      <c r="S196" s="49" t="str">
        <f aca="false">IF(B196="","",IF(OR(O196="",R196=""),"—",IF(O196&lt;=R196,"⚠ RÉAPPRO","OK")))</f>
        <v/>
      </c>
      <c r="T196" s="50"/>
      <c r="U196" s="50"/>
      <c r="V196" s="50"/>
      <c r="W196" s="50"/>
      <c r="X196" s="50"/>
      <c r="Y196" s="53" t="str">
        <f aca="false">IF(B196="","",IF(X196="","—",IF(X196="Non classé","Non classé",IFERROR(INDEX(RefH_Classe,MATCH(TRIM(LEFT(X196,FIND(",",X196&amp;",")-1)),RefH_Code,0)),"Code H inconnu"))))</f>
        <v/>
      </c>
      <c r="Z196" s="50"/>
      <c r="AA196" s="50"/>
      <c r="AB196" s="51"/>
      <c r="AC196" s="51"/>
      <c r="AD196" s="51"/>
      <c r="AE196" s="51"/>
      <c r="AF196" s="50"/>
      <c r="AG196" s="51"/>
      <c r="AH196" s="54"/>
      <c r="AI196" s="51"/>
      <c r="AJ196" s="55" t="str">
        <f aca="false">IF(AH196="","",EDATE(AH196,60))</f>
        <v/>
      </c>
      <c r="AK196" s="49" t="str">
        <f aca="true">IF(B196="","",IF(OR(AG196="Non",AH196=""),"FDS ABSENTE",IF(TODAY()&gt;=EDATE(AH196,60),"EXPIRÉE",IF(TODAY()&gt;=EDATE(AH196,54),"À RENOUVELER","CONFORME"))))</f>
        <v/>
      </c>
      <c r="AL196" s="50"/>
      <c r="AM196" s="54"/>
      <c r="AN196" s="54"/>
      <c r="AO196" s="50"/>
      <c r="AP196" s="50"/>
      <c r="AQ196" s="50"/>
      <c r="AR196" s="50"/>
      <c r="AS196" s="50"/>
      <c r="AT196" s="50"/>
      <c r="AU196" s="50"/>
      <c r="AV196" s="50"/>
      <c r="AW196" s="52"/>
      <c r="AX196" s="52"/>
      <c r="AY196" s="56" t="str">
        <f aca="false">IF(OR(AW196="",AX196=""),"",AW196*AX196)</f>
        <v/>
      </c>
      <c r="AZ196" s="52"/>
      <c r="BA196" s="56" t="str">
        <f aca="false">IF(AY196="","",IF(AZ196="",AY196,ROUNDUP(AY196/AZ196,0)))</f>
        <v/>
      </c>
      <c r="BB196" s="49" t="str">
        <f aca="false">IF(BA196="","",IF(BA196&gt;=15,"P1 – Critique",IF(BA196&gt;=8,"P2 – Élevée",IF(BA196&gt;=4,"P3 – Modérée","P4 – Faible"))))</f>
        <v/>
      </c>
      <c r="BC196" s="50"/>
      <c r="BD196" s="50"/>
      <c r="BE196" s="54"/>
      <c r="BF196" s="57"/>
      <c r="BG196" s="50"/>
      <c r="BH196" s="54"/>
      <c r="BI196" s="54"/>
      <c r="BJ196" s="50"/>
      <c r="BK196" s="50"/>
    </row>
    <row r="197" customFormat="false" ht="15" hidden="false" customHeight="false" outlineLevel="0" collapsed="false">
      <c r="A197" s="49" t="str">
        <f aca="false">IF(B197="","","PC-"&amp;TEXT(ROW()-2,"000"))</f>
        <v/>
      </c>
      <c r="B197" s="50"/>
      <c r="C197" s="50"/>
      <c r="D197" s="51"/>
      <c r="E197" s="51"/>
      <c r="F197" s="51"/>
      <c r="G197" s="50"/>
      <c r="H197" s="50"/>
      <c r="I197" s="50"/>
      <c r="J197" s="51"/>
      <c r="K197" s="50"/>
      <c r="L197" s="50"/>
      <c r="M197" s="50"/>
      <c r="N197" s="50"/>
      <c r="O197" s="52"/>
      <c r="P197" s="50"/>
      <c r="Q197" s="52"/>
      <c r="R197" s="52"/>
      <c r="S197" s="49" t="str">
        <f aca="false">IF(B197="","",IF(OR(O197="",R197=""),"—",IF(O197&lt;=R197,"⚠ RÉAPPRO","OK")))</f>
        <v/>
      </c>
      <c r="T197" s="50"/>
      <c r="U197" s="50"/>
      <c r="V197" s="50"/>
      <c r="W197" s="50"/>
      <c r="X197" s="50"/>
      <c r="Y197" s="53" t="str">
        <f aca="false">IF(B197="","",IF(X197="","—",IF(X197="Non classé","Non classé",IFERROR(INDEX(RefH_Classe,MATCH(TRIM(LEFT(X197,FIND(",",X197&amp;",")-1)),RefH_Code,0)),"Code H inconnu"))))</f>
        <v/>
      </c>
      <c r="Z197" s="50"/>
      <c r="AA197" s="50"/>
      <c r="AB197" s="51"/>
      <c r="AC197" s="51"/>
      <c r="AD197" s="51"/>
      <c r="AE197" s="51"/>
      <c r="AF197" s="50"/>
      <c r="AG197" s="51"/>
      <c r="AH197" s="54"/>
      <c r="AI197" s="51"/>
      <c r="AJ197" s="55" t="str">
        <f aca="false">IF(AH197="","",EDATE(AH197,60))</f>
        <v/>
      </c>
      <c r="AK197" s="49" t="str">
        <f aca="true">IF(B197="","",IF(OR(AG197="Non",AH197=""),"FDS ABSENTE",IF(TODAY()&gt;=EDATE(AH197,60),"EXPIRÉE",IF(TODAY()&gt;=EDATE(AH197,54),"À RENOUVELER","CONFORME"))))</f>
        <v/>
      </c>
      <c r="AL197" s="50"/>
      <c r="AM197" s="54"/>
      <c r="AN197" s="54"/>
      <c r="AO197" s="50"/>
      <c r="AP197" s="50"/>
      <c r="AQ197" s="50"/>
      <c r="AR197" s="50"/>
      <c r="AS197" s="50"/>
      <c r="AT197" s="50"/>
      <c r="AU197" s="50"/>
      <c r="AV197" s="50"/>
      <c r="AW197" s="52"/>
      <c r="AX197" s="52"/>
      <c r="AY197" s="56" t="str">
        <f aca="false">IF(OR(AW197="",AX197=""),"",AW197*AX197)</f>
        <v/>
      </c>
      <c r="AZ197" s="52"/>
      <c r="BA197" s="56" t="str">
        <f aca="false">IF(AY197="","",IF(AZ197="",AY197,ROUNDUP(AY197/AZ197,0)))</f>
        <v/>
      </c>
      <c r="BB197" s="49" t="str">
        <f aca="false">IF(BA197="","",IF(BA197&gt;=15,"P1 – Critique",IF(BA197&gt;=8,"P2 – Élevée",IF(BA197&gt;=4,"P3 – Modérée","P4 – Faible"))))</f>
        <v/>
      </c>
      <c r="BC197" s="50"/>
      <c r="BD197" s="50"/>
      <c r="BE197" s="54"/>
      <c r="BF197" s="57"/>
      <c r="BG197" s="50"/>
      <c r="BH197" s="54"/>
      <c r="BI197" s="54"/>
      <c r="BJ197" s="50"/>
      <c r="BK197" s="50"/>
    </row>
    <row r="198" customFormat="false" ht="15" hidden="false" customHeight="false" outlineLevel="0" collapsed="false">
      <c r="A198" s="49" t="str">
        <f aca="false">IF(B198="","","PC-"&amp;TEXT(ROW()-2,"000"))</f>
        <v/>
      </c>
      <c r="B198" s="50"/>
      <c r="C198" s="50"/>
      <c r="D198" s="51"/>
      <c r="E198" s="51"/>
      <c r="F198" s="51"/>
      <c r="G198" s="50"/>
      <c r="H198" s="50"/>
      <c r="I198" s="50"/>
      <c r="J198" s="51"/>
      <c r="K198" s="50"/>
      <c r="L198" s="50"/>
      <c r="M198" s="50"/>
      <c r="N198" s="50"/>
      <c r="O198" s="52"/>
      <c r="P198" s="50"/>
      <c r="Q198" s="52"/>
      <c r="R198" s="52"/>
      <c r="S198" s="49" t="str">
        <f aca="false">IF(B198="","",IF(OR(O198="",R198=""),"—",IF(O198&lt;=R198,"⚠ RÉAPPRO","OK")))</f>
        <v/>
      </c>
      <c r="T198" s="50"/>
      <c r="U198" s="50"/>
      <c r="V198" s="50"/>
      <c r="W198" s="50"/>
      <c r="X198" s="50"/>
      <c r="Y198" s="53" t="str">
        <f aca="false">IF(B198="","",IF(X198="","—",IF(X198="Non classé","Non classé",IFERROR(INDEX(RefH_Classe,MATCH(TRIM(LEFT(X198,FIND(",",X198&amp;",")-1)),RefH_Code,0)),"Code H inconnu"))))</f>
        <v/>
      </c>
      <c r="Z198" s="50"/>
      <c r="AA198" s="50"/>
      <c r="AB198" s="51"/>
      <c r="AC198" s="51"/>
      <c r="AD198" s="51"/>
      <c r="AE198" s="51"/>
      <c r="AF198" s="50"/>
      <c r="AG198" s="51"/>
      <c r="AH198" s="54"/>
      <c r="AI198" s="51"/>
      <c r="AJ198" s="55" t="str">
        <f aca="false">IF(AH198="","",EDATE(AH198,60))</f>
        <v/>
      </c>
      <c r="AK198" s="49" t="str">
        <f aca="true">IF(B198="","",IF(OR(AG198="Non",AH198=""),"FDS ABSENTE",IF(TODAY()&gt;=EDATE(AH198,60),"EXPIRÉE",IF(TODAY()&gt;=EDATE(AH198,54),"À RENOUVELER","CONFORME"))))</f>
        <v/>
      </c>
      <c r="AL198" s="50"/>
      <c r="AM198" s="54"/>
      <c r="AN198" s="54"/>
      <c r="AO198" s="50"/>
      <c r="AP198" s="50"/>
      <c r="AQ198" s="50"/>
      <c r="AR198" s="50"/>
      <c r="AS198" s="50"/>
      <c r="AT198" s="50"/>
      <c r="AU198" s="50"/>
      <c r="AV198" s="50"/>
      <c r="AW198" s="52"/>
      <c r="AX198" s="52"/>
      <c r="AY198" s="56" t="str">
        <f aca="false">IF(OR(AW198="",AX198=""),"",AW198*AX198)</f>
        <v/>
      </c>
      <c r="AZ198" s="52"/>
      <c r="BA198" s="56" t="str">
        <f aca="false">IF(AY198="","",IF(AZ198="",AY198,ROUNDUP(AY198/AZ198,0)))</f>
        <v/>
      </c>
      <c r="BB198" s="49" t="str">
        <f aca="false">IF(BA198="","",IF(BA198&gt;=15,"P1 – Critique",IF(BA198&gt;=8,"P2 – Élevée",IF(BA198&gt;=4,"P3 – Modérée","P4 – Faible"))))</f>
        <v/>
      </c>
      <c r="BC198" s="50"/>
      <c r="BD198" s="50"/>
      <c r="BE198" s="54"/>
      <c r="BF198" s="57"/>
      <c r="BG198" s="50"/>
      <c r="BH198" s="54"/>
      <c r="BI198" s="54"/>
      <c r="BJ198" s="50"/>
      <c r="BK198" s="50"/>
    </row>
    <row r="199" customFormat="false" ht="15" hidden="false" customHeight="false" outlineLevel="0" collapsed="false">
      <c r="A199" s="49" t="str">
        <f aca="false">IF(B199="","","PC-"&amp;TEXT(ROW()-2,"000"))</f>
        <v/>
      </c>
      <c r="B199" s="50"/>
      <c r="C199" s="50"/>
      <c r="D199" s="51"/>
      <c r="E199" s="51"/>
      <c r="F199" s="51"/>
      <c r="G199" s="50"/>
      <c r="H199" s="50"/>
      <c r="I199" s="50"/>
      <c r="J199" s="51"/>
      <c r="K199" s="50"/>
      <c r="L199" s="50"/>
      <c r="M199" s="50"/>
      <c r="N199" s="50"/>
      <c r="O199" s="52"/>
      <c r="P199" s="50"/>
      <c r="Q199" s="52"/>
      <c r="R199" s="52"/>
      <c r="S199" s="49" t="str">
        <f aca="false">IF(B199="","",IF(OR(O199="",R199=""),"—",IF(O199&lt;=R199,"⚠ RÉAPPRO","OK")))</f>
        <v/>
      </c>
      <c r="T199" s="50"/>
      <c r="U199" s="50"/>
      <c r="V199" s="50"/>
      <c r="W199" s="50"/>
      <c r="X199" s="50"/>
      <c r="Y199" s="53" t="str">
        <f aca="false">IF(B199="","",IF(X199="","—",IF(X199="Non classé","Non classé",IFERROR(INDEX(RefH_Classe,MATCH(TRIM(LEFT(X199,FIND(",",X199&amp;",")-1)),RefH_Code,0)),"Code H inconnu"))))</f>
        <v/>
      </c>
      <c r="Z199" s="50"/>
      <c r="AA199" s="50"/>
      <c r="AB199" s="51"/>
      <c r="AC199" s="51"/>
      <c r="AD199" s="51"/>
      <c r="AE199" s="51"/>
      <c r="AF199" s="50"/>
      <c r="AG199" s="51"/>
      <c r="AH199" s="54"/>
      <c r="AI199" s="51"/>
      <c r="AJ199" s="55" t="str">
        <f aca="false">IF(AH199="","",EDATE(AH199,60))</f>
        <v/>
      </c>
      <c r="AK199" s="49" t="str">
        <f aca="true">IF(B199="","",IF(OR(AG199="Non",AH199=""),"FDS ABSENTE",IF(TODAY()&gt;=EDATE(AH199,60),"EXPIRÉE",IF(TODAY()&gt;=EDATE(AH199,54),"À RENOUVELER","CONFORME"))))</f>
        <v/>
      </c>
      <c r="AL199" s="50"/>
      <c r="AM199" s="54"/>
      <c r="AN199" s="54"/>
      <c r="AO199" s="50"/>
      <c r="AP199" s="50"/>
      <c r="AQ199" s="50"/>
      <c r="AR199" s="50"/>
      <c r="AS199" s="50"/>
      <c r="AT199" s="50"/>
      <c r="AU199" s="50"/>
      <c r="AV199" s="50"/>
      <c r="AW199" s="52"/>
      <c r="AX199" s="52"/>
      <c r="AY199" s="56" t="str">
        <f aca="false">IF(OR(AW199="",AX199=""),"",AW199*AX199)</f>
        <v/>
      </c>
      <c r="AZ199" s="52"/>
      <c r="BA199" s="56" t="str">
        <f aca="false">IF(AY199="","",IF(AZ199="",AY199,ROUNDUP(AY199/AZ199,0)))</f>
        <v/>
      </c>
      <c r="BB199" s="49" t="str">
        <f aca="false">IF(BA199="","",IF(BA199&gt;=15,"P1 – Critique",IF(BA199&gt;=8,"P2 – Élevée",IF(BA199&gt;=4,"P3 – Modérée","P4 – Faible"))))</f>
        <v/>
      </c>
      <c r="BC199" s="50"/>
      <c r="BD199" s="50"/>
      <c r="BE199" s="54"/>
      <c r="BF199" s="57"/>
      <c r="BG199" s="50"/>
      <c r="BH199" s="54"/>
      <c r="BI199" s="54"/>
      <c r="BJ199" s="50"/>
      <c r="BK199" s="50"/>
    </row>
    <row r="200" customFormat="false" ht="15" hidden="false" customHeight="false" outlineLevel="0" collapsed="false">
      <c r="A200" s="49" t="str">
        <f aca="false">IF(B200="","","PC-"&amp;TEXT(ROW()-2,"000"))</f>
        <v/>
      </c>
      <c r="B200" s="50"/>
      <c r="C200" s="50"/>
      <c r="D200" s="51"/>
      <c r="E200" s="51"/>
      <c r="F200" s="51"/>
      <c r="G200" s="50"/>
      <c r="H200" s="50"/>
      <c r="I200" s="50"/>
      <c r="J200" s="51"/>
      <c r="K200" s="50"/>
      <c r="L200" s="50"/>
      <c r="M200" s="50"/>
      <c r="N200" s="50"/>
      <c r="O200" s="52"/>
      <c r="P200" s="50"/>
      <c r="Q200" s="52"/>
      <c r="R200" s="52"/>
      <c r="S200" s="49" t="str">
        <f aca="false">IF(B200="","",IF(OR(O200="",R200=""),"—",IF(O200&lt;=R200,"⚠ RÉAPPRO","OK")))</f>
        <v/>
      </c>
      <c r="T200" s="50"/>
      <c r="U200" s="50"/>
      <c r="V200" s="50"/>
      <c r="W200" s="50"/>
      <c r="X200" s="50"/>
      <c r="Y200" s="53" t="str">
        <f aca="false">IF(B200="","",IF(X200="","—",IF(X200="Non classé","Non classé",IFERROR(INDEX(RefH_Classe,MATCH(TRIM(LEFT(X200,FIND(",",X200&amp;",")-1)),RefH_Code,0)),"Code H inconnu"))))</f>
        <v/>
      </c>
      <c r="Z200" s="50"/>
      <c r="AA200" s="50"/>
      <c r="AB200" s="51"/>
      <c r="AC200" s="51"/>
      <c r="AD200" s="51"/>
      <c r="AE200" s="51"/>
      <c r="AF200" s="50"/>
      <c r="AG200" s="51"/>
      <c r="AH200" s="54"/>
      <c r="AI200" s="51"/>
      <c r="AJ200" s="55" t="str">
        <f aca="false">IF(AH200="","",EDATE(AH200,60))</f>
        <v/>
      </c>
      <c r="AK200" s="49" t="str">
        <f aca="true">IF(B200="","",IF(OR(AG200="Non",AH200=""),"FDS ABSENTE",IF(TODAY()&gt;=EDATE(AH200,60),"EXPIRÉE",IF(TODAY()&gt;=EDATE(AH200,54),"À RENOUVELER","CONFORME"))))</f>
        <v/>
      </c>
      <c r="AL200" s="50"/>
      <c r="AM200" s="54"/>
      <c r="AN200" s="54"/>
      <c r="AO200" s="50"/>
      <c r="AP200" s="50"/>
      <c r="AQ200" s="50"/>
      <c r="AR200" s="50"/>
      <c r="AS200" s="50"/>
      <c r="AT200" s="50"/>
      <c r="AU200" s="50"/>
      <c r="AV200" s="50"/>
      <c r="AW200" s="52"/>
      <c r="AX200" s="52"/>
      <c r="AY200" s="56" t="str">
        <f aca="false">IF(OR(AW200="",AX200=""),"",AW200*AX200)</f>
        <v/>
      </c>
      <c r="AZ200" s="52"/>
      <c r="BA200" s="56" t="str">
        <f aca="false">IF(AY200="","",IF(AZ200="",AY200,ROUNDUP(AY200/AZ200,0)))</f>
        <v/>
      </c>
      <c r="BB200" s="49" t="str">
        <f aca="false">IF(BA200="","",IF(BA200&gt;=15,"P1 – Critique",IF(BA200&gt;=8,"P2 – Élevée",IF(BA200&gt;=4,"P3 – Modérée","P4 – Faible"))))</f>
        <v/>
      </c>
      <c r="BC200" s="50"/>
      <c r="BD200" s="50"/>
      <c r="BE200" s="54"/>
      <c r="BF200" s="57"/>
      <c r="BG200" s="50"/>
      <c r="BH200" s="54"/>
      <c r="BI200" s="54"/>
      <c r="BJ200" s="50"/>
      <c r="BK200" s="50"/>
    </row>
    <row r="201" customFormat="false" ht="15" hidden="false" customHeight="false" outlineLevel="0" collapsed="false">
      <c r="A201" s="49" t="str">
        <f aca="false">IF(B201="","","PC-"&amp;TEXT(ROW()-2,"000"))</f>
        <v/>
      </c>
      <c r="B201" s="50"/>
      <c r="C201" s="50"/>
      <c r="D201" s="51"/>
      <c r="E201" s="51"/>
      <c r="F201" s="51"/>
      <c r="G201" s="50"/>
      <c r="H201" s="50"/>
      <c r="I201" s="50"/>
      <c r="J201" s="51"/>
      <c r="K201" s="50"/>
      <c r="L201" s="50"/>
      <c r="M201" s="50"/>
      <c r="N201" s="50"/>
      <c r="O201" s="52"/>
      <c r="P201" s="50"/>
      <c r="Q201" s="52"/>
      <c r="R201" s="52"/>
      <c r="S201" s="49" t="str">
        <f aca="false">IF(B201="","",IF(OR(O201="",R201=""),"—",IF(O201&lt;=R201,"⚠ RÉAPPRO","OK")))</f>
        <v/>
      </c>
      <c r="T201" s="50"/>
      <c r="U201" s="50"/>
      <c r="V201" s="50"/>
      <c r="W201" s="50"/>
      <c r="X201" s="50"/>
      <c r="Y201" s="53" t="str">
        <f aca="false">IF(B201="","",IF(X201="","—",IF(X201="Non classé","Non classé",IFERROR(INDEX(RefH_Classe,MATCH(TRIM(LEFT(X201,FIND(",",X201&amp;",")-1)),RefH_Code,0)),"Code H inconnu"))))</f>
        <v/>
      </c>
      <c r="Z201" s="50"/>
      <c r="AA201" s="50"/>
      <c r="AB201" s="51"/>
      <c r="AC201" s="51"/>
      <c r="AD201" s="51"/>
      <c r="AE201" s="51"/>
      <c r="AF201" s="50"/>
      <c r="AG201" s="51"/>
      <c r="AH201" s="54"/>
      <c r="AI201" s="51"/>
      <c r="AJ201" s="55" t="str">
        <f aca="false">IF(AH201="","",EDATE(AH201,60))</f>
        <v/>
      </c>
      <c r="AK201" s="49" t="str">
        <f aca="true">IF(B201="","",IF(OR(AG201="Non",AH201=""),"FDS ABSENTE",IF(TODAY()&gt;=EDATE(AH201,60),"EXPIRÉE",IF(TODAY()&gt;=EDATE(AH201,54),"À RENOUVELER","CONFORME"))))</f>
        <v/>
      </c>
      <c r="AL201" s="50"/>
      <c r="AM201" s="54"/>
      <c r="AN201" s="54"/>
      <c r="AO201" s="50"/>
      <c r="AP201" s="50"/>
      <c r="AQ201" s="50"/>
      <c r="AR201" s="50"/>
      <c r="AS201" s="50"/>
      <c r="AT201" s="50"/>
      <c r="AU201" s="50"/>
      <c r="AV201" s="50"/>
      <c r="AW201" s="52"/>
      <c r="AX201" s="52"/>
      <c r="AY201" s="56" t="str">
        <f aca="false">IF(OR(AW201="",AX201=""),"",AW201*AX201)</f>
        <v/>
      </c>
      <c r="AZ201" s="52"/>
      <c r="BA201" s="56" t="str">
        <f aca="false">IF(AY201="","",IF(AZ201="",AY201,ROUNDUP(AY201/AZ201,0)))</f>
        <v/>
      </c>
      <c r="BB201" s="49" t="str">
        <f aca="false">IF(BA201="","",IF(BA201&gt;=15,"P1 – Critique",IF(BA201&gt;=8,"P2 – Élevée",IF(BA201&gt;=4,"P3 – Modérée","P4 – Faible"))))</f>
        <v/>
      </c>
      <c r="BC201" s="50"/>
      <c r="BD201" s="50"/>
      <c r="BE201" s="54"/>
      <c r="BF201" s="57"/>
      <c r="BG201" s="50"/>
      <c r="BH201" s="54"/>
      <c r="BI201" s="54"/>
      <c r="BJ201" s="50"/>
      <c r="BK201" s="50"/>
    </row>
    <row r="202" customFormat="false" ht="15" hidden="false" customHeight="false" outlineLevel="0" collapsed="false">
      <c r="A202" s="49" t="str">
        <f aca="false">IF(B202="","","PC-"&amp;TEXT(ROW()-2,"000"))</f>
        <v/>
      </c>
      <c r="B202" s="50"/>
      <c r="C202" s="50"/>
      <c r="D202" s="51"/>
      <c r="E202" s="51"/>
      <c r="F202" s="51"/>
      <c r="G202" s="50"/>
      <c r="H202" s="50"/>
      <c r="I202" s="50"/>
      <c r="J202" s="51"/>
      <c r="K202" s="50"/>
      <c r="L202" s="50"/>
      <c r="M202" s="50"/>
      <c r="N202" s="50"/>
      <c r="O202" s="52"/>
      <c r="P202" s="50"/>
      <c r="Q202" s="52"/>
      <c r="R202" s="52"/>
      <c r="S202" s="49" t="str">
        <f aca="false">IF(B202="","",IF(OR(O202="",R202=""),"—",IF(O202&lt;=R202,"⚠ RÉAPPRO","OK")))</f>
        <v/>
      </c>
      <c r="T202" s="50"/>
      <c r="U202" s="50"/>
      <c r="V202" s="50"/>
      <c r="W202" s="50"/>
      <c r="X202" s="50"/>
      <c r="Y202" s="53" t="str">
        <f aca="false">IF(B202="","",IF(X202="","—",IF(X202="Non classé","Non classé",IFERROR(INDEX(RefH_Classe,MATCH(TRIM(LEFT(X202,FIND(",",X202&amp;",")-1)),RefH_Code,0)),"Code H inconnu"))))</f>
        <v/>
      </c>
      <c r="Z202" s="50"/>
      <c r="AA202" s="50"/>
      <c r="AB202" s="51"/>
      <c r="AC202" s="51"/>
      <c r="AD202" s="51"/>
      <c r="AE202" s="51"/>
      <c r="AF202" s="50"/>
      <c r="AG202" s="51"/>
      <c r="AH202" s="54"/>
      <c r="AI202" s="51"/>
      <c r="AJ202" s="55" t="str">
        <f aca="false">IF(AH202="","",EDATE(AH202,60))</f>
        <v/>
      </c>
      <c r="AK202" s="49" t="str">
        <f aca="true">IF(B202="","",IF(OR(AG202="Non",AH202=""),"FDS ABSENTE",IF(TODAY()&gt;=EDATE(AH202,60),"EXPIRÉE",IF(TODAY()&gt;=EDATE(AH202,54),"À RENOUVELER","CONFORME"))))</f>
        <v/>
      </c>
      <c r="AL202" s="50"/>
      <c r="AM202" s="54"/>
      <c r="AN202" s="54"/>
      <c r="AO202" s="50"/>
      <c r="AP202" s="50"/>
      <c r="AQ202" s="50"/>
      <c r="AR202" s="50"/>
      <c r="AS202" s="50"/>
      <c r="AT202" s="50"/>
      <c r="AU202" s="50"/>
      <c r="AV202" s="50"/>
      <c r="AW202" s="52"/>
      <c r="AX202" s="52"/>
      <c r="AY202" s="56" t="str">
        <f aca="false">IF(OR(AW202="",AX202=""),"",AW202*AX202)</f>
        <v/>
      </c>
      <c r="AZ202" s="52"/>
      <c r="BA202" s="56" t="str">
        <f aca="false">IF(AY202="","",IF(AZ202="",AY202,ROUNDUP(AY202/AZ202,0)))</f>
        <v/>
      </c>
      <c r="BB202" s="49" t="str">
        <f aca="false">IF(BA202="","",IF(BA202&gt;=15,"P1 – Critique",IF(BA202&gt;=8,"P2 – Élevée",IF(BA202&gt;=4,"P3 – Modérée","P4 – Faible"))))</f>
        <v/>
      </c>
      <c r="BC202" s="50"/>
      <c r="BD202" s="50"/>
      <c r="BE202" s="54"/>
      <c r="BF202" s="57"/>
      <c r="BG202" s="50"/>
      <c r="BH202" s="54"/>
      <c r="BI202" s="54"/>
      <c r="BJ202" s="50"/>
      <c r="BK202" s="50"/>
    </row>
    <row r="203" customFormat="false" ht="15" hidden="false" customHeight="false" outlineLevel="0" collapsed="false">
      <c r="A203" s="49" t="str">
        <f aca="false">IF(B203="","","PC-"&amp;TEXT(ROW()-2,"000"))</f>
        <v/>
      </c>
      <c r="B203" s="50"/>
      <c r="C203" s="50"/>
      <c r="D203" s="51"/>
      <c r="E203" s="51"/>
      <c r="F203" s="51"/>
      <c r="G203" s="50"/>
      <c r="H203" s="50"/>
      <c r="I203" s="50"/>
      <c r="J203" s="51"/>
      <c r="K203" s="50"/>
      <c r="L203" s="50"/>
      <c r="M203" s="50"/>
      <c r="N203" s="50"/>
      <c r="O203" s="52"/>
      <c r="P203" s="50"/>
      <c r="Q203" s="52"/>
      <c r="R203" s="52"/>
      <c r="S203" s="49" t="str">
        <f aca="false">IF(B203="","",IF(OR(O203="",R203=""),"—",IF(O203&lt;=R203,"⚠ RÉAPPRO","OK")))</f>
        <v/>
      </c>
      <c r="T203" s="50"/>
      <c r="U203" s="50"/>
      <c r="V203" s="50"/>
      <c r="W203" s="50"/>
      <c r="X203" s="50"/>
      <c r="Y203" s="53" t="str">
        <f aca="false">IF(B203="","",IF(X203="","—",IF(X203="Non classé","Non classé",IFERROR(INDEX(RefH_Classe,MATCH(TRIM(LEFT(X203,FIND(",",X203&amp;",")-1)),RefH_Code,0)),"Code H inconnu"))))</f>
        <v/>
      </c>
      <c r="Z203" s="50"/>
      <c r="AA203" s="50"/>
      <c r="AB203" s="51"/>
      <c r="AC203" s="51"/>
      <c r="AD203" s="51"/>
      <c r="AE203" s="51"/>
      <c r="AF203" s="50"/>
      <c r="AG203" s="51"/>
      <c r="AH203" s="54"/>
      <c r="AI203" s="51"/>
      <c r="AJ203" s="55" t="str">
        <f aca="false">IF(AH203="","",EDATE(AH203,60))</f>
        <v/>
      </c>
      <c r="AK203" s="49" t="str">
        <f aca="true">IF(B203="","",IF(OR(AG203="Non",AH203=""),"FDS ABSENTE",IF(TODAY()&gt;=EDATE(AH203,60),"EXPIRÉE",IF(TODAY()&gt;=EDATE(AH203,54),"À RENOUVELER","CONFORME"))))</f>
        <v/>
      </c>
      <c r="AL203" s="50"/>
      <c r="AM203" s="54"/>
      <c r="AN203" s="54"/>
      <c r="AO203" s="50"/>
      <c r="AP203" s="50"/>
      <c r="AQ203" s="50"/>
      <c r="AR203" s="50"/>
      <c r="AS203" s="50"/>
      <c r="AT203" s="50"/>
      <c r="AU203" s="50"/>
      <c r="AV203" s="50"/>
      <c r="AW203" s="52"/>
      <c r="AX203" s="52"/>
      <c r="AY203" s="56" t="str">
        <f aca="false">IF(OR(AW203="",AX203=""),"",AW203*AX203)</f>
        <v/>
      </c>
      <c r="AZ203" s="52"/>
      <c r="BA203" s="56" t="str">
        <f aca="false">IF(AY203="","",IF(AZ203="",AY203,ROUNDUP(AY203/AZ203,0)))</f>
        <v/>
      </c>
      <c r="BB203" s="49" t="str">
        <f aca="false">IF(BA203="","",IF(BA203&gt;=15,"P1 – Critique",IF(BA203&gt;=8,"P2 – Élevée",IF(BA203&gt;=4,"P3 – Modérée","P4 – Faible"))))</f>
        <v/>
      </c>
      <c r="BC203" s="50"/>
      <c r="BD203" s="50"/>
      <c r="BE203" s="54"/>
      <c r="BF203" s="57"/>
      <c r="BG203" s="50"/>
      <c r="BH203" s="54"/>
      <c r="BI203" s="54"/>
      <c r="BJ203" s="50"/>
      <c r="BK203" s="50"/>
    </row>
    <row r="204" customFormat="false" ht="15" hidden="false" customHeight="false" outlineLevel="0" collapsed="false">
      <c r="A204" s="49" t="str">
        <f aca="false">IF(B204="","","PC-"&amp;TEXT(ROW()-2,"000"))</f>
        <v/>
      </c>
      <c r="B204" s="50"/>
      <c r="C204" s="50"/>
      <c r="D204" s="51"/>
      <c r="E204" s="51"/>
      <c r="F204" s="51"/>
      <c r="G204" s="50"/>
      <c r="H204" s="50"/>
      <c r="I204" s="50"/>
      <c r="J204" s="51"/>
      <c r="K204" s="50"/>
      <c r="L204" s="50"/>
      <c r="M204" s="50"/>
      <c r="N204" s="50"/>
      <c r="O204" s="52"/>
      <c r="P204" s="50"/>
      <c r="Q204" s="52"/>
      <c r="R204" s="52"/>
      <c r="S204" s="49" t="str">
        <f aca="false">IF(B204="","",IF(OR(O204="",R204=""),"—",IF(O204&lt;=R204,"⚠ RÉAPPRO","OK")))</f>
        <v/>
      </c>
      <c r="T204" s="50"/>
      <c r="U204" s="50"/>
      <c r="V204" s="50"/>
      <c r="W204" s="50"/>
      <c r="X204" s="50"/>
      <c r="Y204" s="53" t="str">
        <f aca="false">IF(B204="","",IF(X204="","—",IF(X204="Non classé","Non classé",IFERROR(INDEX(RefH_Classe,MATCH(TRIM(LEFT(X204,FIND(",",X204&amp;",")-1)),RefH_Code,0)),"Code H inconnu"))))</f>
        <v/>
      </c>
      <c r="Z204" s="50"/>
      <c r="AA204" s="50"/>
      <c r="AB204" s="51"/>
      <c r="AC204" s="51"/>
      <c r="AD204" s="51"/>
      <c r="AE204" s="51"/>
      <c r="AF204" s="50"/>
      <c r="AG204" s="51"/>
      <c r="AH204" s="54"/>
      <c r="AI204" s="51"/>
      <c r="AJ204" s="55" t="str">
        <f aca="false">IF(AH204="","",EDATE(AH204,60))</f>
        <v/>
      </c>
      <c r="AK204" s="49" t="str">
        <f aca="true">IF(B204="","",IF(OR(AG204="Non",AH204=""),"FDS ABSENTE",IF(TODAY()&gt;=EDATE(AH204,60),"EXPIRÉE",IF(TODAY()&gt;=EDATE(AH204,54),"À RENOUVELER","CONFORME"))))</f>
        <v/>
      </c>
      <c r="AL204" s="50"/>
      <c r="AM204" s="54"/>
      <c r="AN204" s="54"/>
      <c r="AO204" s="50"/>
      <c r="AP204" s="50"/>
      <c r="AQ204" s="50"/>
      <c r="AR204" s="50"/>
      <c r="AS204" s="50"/>
      <c r="AT204" s="50"/>
      <c r="AU204" s="50"/>
      <c r="AV204" s="50"/>
      <c r="AW204" s="52"/>
      <c r="AX204" s="52"/>
      <c r="AY204" s="56" t="str">
        <f aca="false">IF(OR(AW204="",AX204=""),"",AW204*AX204)</f>
        <v/>
      </c>
      <c r="AZ204" s="52"/>
      <c r="BA204" s="56" t="str">
        <f aca="false">IF(AY204="","",IF(AZ204="",AY204,ROUNDUP(AY204/AZ204,0)))</f>
        <v/>
      </c>
      <c r="BB204" s="49" t="str">
        <f aca="false">IF(BA204="","",IF(BA204&gt;=15,"P1 – Critique",IF(BA204&gt;=8,"P2 – Élevée",IF(BA204&gt;=4,"P3 – Modérée","P4 – Faible"))))</f>
        <v/>
      </c>
      <c r="BC204" s="50"/>
      <c r="BD204" s="50"/>
      <c r="BE204" s="54"/>
      <c r="BF204" s="57"/>
      <c r="BG204" s="50"/>
      <c r="BH204" s="54"/>
      <c r="BI204" s="54"/>
      <c r="BJ204" s="50"/>
      <c r="BK204" s="50"/>
    </row>
    <row r="205" customFormat="false" ht="15" hidden="false" customHeight="false" outlineLevel="0" collapsed="false">
      <c r="A205" s="49" t="str">
        <f aca="false">IF(B205="","","PC-"&amp;TEXT(ROW()-2,"000"))</f>
        <v/>
      </c>
      <c r="B205" s="50"/>
      <c r="C205" s="50"/>
      <c r="D205" s="51"/>
      <c r="E205" s="51"/>
      <c r="F205" s="51"/>
      <c r="G205" s="50"/>
      <c r="H205" s="50"/>
      <c r="I205" s="50"/>
      <c r="J205" s="51"/>
      <c r="K205" s="50"/>
      <c r="L205" s="50"/>
      <c r="M205" s="50"/>
      <c r="N205" s="50"/>
      <c r="O205" s="52"/>
      <c r="P205" s="50"/>
      <c r="Q205" s="52"/>
      <c r="R205" s="52"/>
      <c r="S205" s="49" t="str">
        <f aca="false">IF(B205="","",IF(OR(O205="",R205=""),"—",IF(O205&lt;=R205,"⚠ RÉAPPRO","OK")))</f>
        <v/>
      </c>
      <c r="T205" s="50"/>
      <c r="U205" s="50"/>
      <c r="V205" s="50"/>
      <c r="W205" s="50"/>
      <c r="X205" s="50"/>
      <c r="Y205" s="53" t="str">
        <f aca="false">IF(B205="","",IF(X205="","—",IF(X205="Non classé","Non classé",IFERROR(INDEX(RefH_Classe,MATCH(TRIM(LEFT(X205,FIND(",",X205&amp;",")-1)),RefH_Code,0)),"Code H inconnu"))))</f>
        <v/>
      </c>
      <c r="Z205" s="50"/>
      <c r="AA205" s="50"/>
      <c r="AB205" s="51"/>
      <c r="AC205" s="51"/>
      <c r="AD205" s="51"/>
      <c r="AE205" s="51"/>
      <c r="AF205" s="50"/>
      <c r="AG205" s="51"/>
      <c r="AH205" s="54"/>
      <c r="AI205" s="51"/>
      <c r="AJ205" s="55" t="str">
        <f aca="false">IF(AH205="","",EDATE(AH205,60))</f>
        <v/>
      </c>
      <c r="AK205" s="49" t="str">
        <f aca="true">IF(B205="","",IF(OR(AG205="Non",AH205=""),"FDS ABSENTE",IF(TODAY()&gt;=EDATE(AH205,60),"EXPIRÉE",IF(TODAY()&gt;=EDATE(AH205,54),"À RENOUVELER","CONFORME"))))</f>
        <v/>
      </c>
      <c r="AL205" s="50"/>
      <c r="AM205" s="54"/>
      <c r="AN205" s="54"/>
      <c r="AO205" s="50"/>
      <c r="AP205" s="50"/>
      <c r="AQ205" s="50"/>
      <c r="AR205" s="50"/>
      <c r="AS205" s="50"/>
      <c r="AT205" s="50"/>
      <c r="AU205" s="50"/>
      <c r="AV205" s="50"/>
      <c r="AW205" s="52"/>
      <c r="AX205" s="52"/>
      <c r="AY205" s="56" t="str">
        <f aca="false">IF(OR(AW205="",AX205=""),"",AW205*AX205)</f>
        <v/>
      </c>
      <c r="AZ205" s="52"/>
      <c r="BA205" s="56" t="str">
        <f aca="false">IF(AY205="","",IF(AZ205="",AY205,ROUNDUP(AY205/AZ205,0)))</f>
        <v/>
      </c>
      <c r="BB205" s="49" t="str">
        <f aca="false">IF(BA205="","",IF(BA205&gt;=15,"P1 – Critique",IF(BA205&gt;=8,"P2 – Élevée",IF(BA205&gt;=4,"P3 – Modérée","P4 – Faible"))))</f>
        <v/>
      </c>
      <c r="BC205" s="50"/>
      <c r="BD205" s="50"/>
      <c r="BE205" s="54"/>
      <c r="BF205" s="57"/>
      <c r="BG205" s="50"/>
      <c r="BH205" s="54"/>
      <c r="BI205" s="54"/>
      <c r="BJ205" s="50"/>
      <c r="BK205" s="50"/>
    </row>
    <row r="206" customFormat="false" ht="15" hidden="false" customHeight="false" outlineLevel="0" collapsed="false">
      <c r="A206" s="49" t="str">
        <f aca="false">IF(B206="","","PC-"&amp;TEXT(ROW()-2,"000"))</f>
        <v/>
      </c>
      <c r="B206" s="50"/>
      <c r="C206" s="50"/>
      <c r="D206" s="51"/>
      <c r="E206" s="51"/>
      <c r="F206" s="51"/>
      <c r="G206" s="50"/>
      <c r="H206" s="50"/>
      <c r="I206" s="50"/>
      <c r="J206" s="51"/>
      <c r="K206" s="50"/>
      <c r="L206" s="50"/>
      <c r="M206" s="50"/>
      <c r="N206" s="50"/>
      <c r="O206" s="52"/>
      <c r="P206" s="50"/>
      <c r="Q206" s="52"/>
      <c r="R206" s="52"/>
      <c r="S206" s="49" t="str">
        <f aca="false">IF(B206="","",IF(OR(O206="",R206=""),"—",IF(O206&lt;=R206,"⚠ RÉAPPRO","OK")))</f>
        <v/>
      </c>
      <c r="T206" s="50"/>
      <c r="U206" s="50"/>
      <c r="V206" s="50"/>
      <c r="W206" s="50"/>
      <c r="X206" s="50"/>
      <c r="Y206" s="53" t="str">
        <f aca="false">IF(B206="","",IF(X206="","—",IF(X206="Non classé","Non classé",IFERROR(INDEX(RefH_Classe,MATCH(TRIM(LEFT(X206,FIND(",",X206&amp;",")-1)),RefH_Code,0)),"Code H inconnu"))))</f>
        <v/>
      </c>
      <c r="Z206" s="50"/>
      <c r="AA206" s="50"/>
      <c r="AB206" s="51"/>
      <c r="AC206" s="51"/>
      <c r="AD206" s="51"/>
      <c r="AE206" s="51"/>
      <c r="AF206" s="50"/>
      <c r="AG206" s="51"/>
      <c r="AH206" s="54"/>
      <c r="AI206" s="51"/>
      <c r="AJ206" s="55" t="str">
        <f aca="false">IF(AH206="","",EDATE(AH206,60))</f>
        <v/>
      </c>
      <c r="AK206" s="49" t="str">
        <f aca="true">IF(B206="","",IF(OR(AG206="Non",AH206=""),"FDS ABSENTE",IF(TODAY()&gt;=EDATE(AH206,60),"EXPIRÉE",IF(TODAY()&gt;=EDATE(AH206,54),"À RENOUVELER","CONFORME"))))</f>
        <v/>
      </c>
      <c r="AL206" s="50"/>
      <c r="AM206" s="54"/>
      <c r="AN206" s="54"/>
      <c r="AO206" s="50"/>
      <c r="AP206" s="50"/>
      <c r="AQ206" s="50"/>
      <c r="AR206" s="50"/>
      <c r="AS206" s="50"/>
      <c r="AT206" s="50"/>
      <c r="AU206" s="50"/>
      <c r="AV206" s="50"/>
      <c r="AW206" s="52"/>
      <c r="AX206" s="52"/>
      <c r="AY206" s="56" t="str">
        <f aca="false">IF(OR(AW206="",AX206=""),"",AW206*AX206)</f>
        <v/>
      </c>
      <c r="AZ206" s="52"/>
      <c r="BA206" s="56" t="str">
        <f aca="false">IF(AY206="","",IF(AZ206="",AY206,ROUNDUP(AY206/AZ206,0)))</f>
        <v/>
      </c>
      <c r="BB206" s="49" t="str">
        <f aca="false">IF(BA206="","",IF(BA206&gt;=15,"P1 – Critique",IF(BA206&gt;=8,"P2 – Élevée",IF(BA206&gt;=4,"P3 – Modérée","P4 – Faible"))))</f>
        <v/>
      </c>
      <c r="BC206" s="50"/>
      <c r="BD206" s="50"/>
      <c r="BE206" s="54"/>
      <c r="BF206" s="57"/>
      <c r="BG206" s="50"/>
      <c r="BH206" s="54"/>
      <c r="BI206" s="54"/>
      <c r="BJ206" s="50"/>
      <c r="BK206" s="50"/>
    </row>
    <row r="207" customFormat="false" ht="15" hidden="false" customHeight="false" outlineLevel="0" collapsed="false">
      <c r="A207" s="49" t="str">
        <f aca="false">IF(B207="","","PC-"&amp;TEXT(ROW()-2,"000"))</f>
        <v/>
      </c>
      <c r="B207" s="50"/>
      <c r="C207" s="50"/>
      <c r="D207" s="51"/>
      <c r="E207" s="51"/>
      <c r="F207" s="51"/>
      <c r="G207" s="50"/>
      <c r="H207" s="50"/>
      <c r="I207" s="50"/>
      <c r="J207" s="51"/>
      <c r="K207" s="50"/>
      <c r="L207" s="50"/>
      <c r="M207" s="50"/>
      <c r="N207" s="50"/>
      <c r="O207" s="52"/>
      <c r="P207" s="50"/>
      <c r="Q207" s="52"/>
      <c r="R207" s="52"/>
      <c r="S207" s="49" t="str">
        <f aca="false">IF(B207="","",IF(OR(O207="",R207=""),"—",IF(O207&lt;=R207,"⚠ RÉAPPRO","OK")))</f>
        <v/>
      </c>
      <c r="T207" s="50"/>
      <c r="U207" s="50"/>
      <c r="V207" s="50"/>
      <c r="W207" s="50"/>
      <c r="X207" s="50"/>
      <c r="Y207" s="53" t="str">
        <f aca="false">IF(B207="","",IF(X207="","—",IF(X207="Non classé","Non classé",IFERROR(INDEX(RefH_Classe,MATCH(TRIM(LEFT(X207,FIND(",",X207&amp;",")-1)),RefH_Code,0)),"Code H inconnu"))))</f>
        <v/>
      </c>
      <c r="Z207" s="50"/>
      <c r="AA207" s="50"/>
      <c r="AB207" s="51"/>
      <c r="AC207" s="51"/>
      <c r="AD207" s="51"/>
      <c r="AE207" s="51"/>
      <c r="AF207" s="50"/>
      <c r="AG207" s="51"/>
      <c r="AH207" s="54"/>
      <c r="AI207" s="51"/>
      <c r="AJ207" s="55" t="str">
        <f aca="false">IF(AH207="","",EDATE(AH207,60))</f>
        <v/>
      </c>
      <c r="AK207" s="49" t="str">
        <f aca="true">IF(B207="","",IF(OR(AG207="Non",AH207=""),"FDS ABSENTE",IF(TODAY()&gt;=EDATE(AH207,60),"EXPIRÉE",IF(TODAY()&gt;=EDATE(AH207,54),"À RENOUVELER","CONFORME"))))</f>
        <v/>
      </c>
      <c r="AL207" s="50"/>
      <c r="AM207" s="54"/>
      <c r="AN207" s="54"/>
      <c r="AO207" s="50"/>
      <c r="AP207" s="50"/>
      <c r="AQ207" s="50"/>
      <c r="AR207" s="50"/>
      <c r="AS207" s="50"/>
      <c r="AT207" s="50"/>
      <c r="AU207" s="50"/>
      <c r="AV207" s="50"/>
      <c r="AW207" s="52"/>
      <c r="AX207" s="52"/>
      <c r="AY207" s="56" t="str">
        <f aca="false">IF(OR(AW207="",AX207=""),"",AW207*AX207)</f>
        <v/>
      </c>
      <c r="AZ207" s="52"/>
      <c r="BA207" s="56" t="str">
        <f aca="false">IF(AY207="","",IF(AZ207="",AY207,ROUNDUP(AY207/AZ207,0)))</f>
        <v/>
      </c>
      <c r="BB207" s="49" t="str">
        <f aca="false">IF(BA207="","",IF(BA207&gt;=15,"P1 – Critique",IF(BA207&gt;=8,"P2 – Élevée",IF(BA207&gt;=4,"P3 – Modérée","P4 – Faible"))))</f>
        <v/>
      </c>
      <c r="BC207" s="50"/>
      <c r="BD207" s="50"/>
      <c r="BE207" s="54"/>
      <c r="BF207" s="57"/>
      <c r="BG207" s="50"/>
      <c r="BH207" s="54"/>
      <c r="BI207" s="54"/>
      <c r="BJ207" s="50"/>
      <c r="BK207" s="50"/>
    </row>
    <row r="208" customFormat="false" ht="15" hidden="false" customHeight="false" outlineLevel="0" collapsed="false">
      <c r="A208" s="49" t="str">
        <f aca="false">IF(B208="","","PC-"&amp;TEXT(ROW()-2,"000"))</f>
        <v/>
      </c>
      <c r="B208" s="50"/>
      <c r="C208" s="50"/>
      <c r="D208" s="51"/>
      <c r="E208" s="51"/>
      <c r="F208" s="51"/>
      <c r="G208" s="50"/>
      <c r="H208" s="50"/>
      <c r="I208" s="50"/>
      <c r="J208" s="51"/>
      <c r="K208" s="50"/>
      <c r="L208" s="50"/>
      <c r="M208" s="50"/>
      <c r="N208" s="50"/>
      <c r="O208" s="52"/>
      <c r="P208" s="50"/>
      <c r="Q208" s="52"/>
      <c r="R208" s="52"/>
      <c r="S208" s="49" t="str">
        <f aca="false">IF(B208="","",IF(OR(O208="",R208=""),"—",IF(O208&lt;=R208,"⚠ RÉAPPRO","OK")))</f>
        <v/>
      </c>
      <c r="T208" s="50"/>
      <c r="U208" s="50"/>
      <c r="V208" s="50"/>
      <c r="W208" s="50"/>
      <c r="X208" s="50"/>
      <c r="Y208" s="53" t="str">
        <f aca="false">IF(B208="","",IF(X208="","—",IF(X208="Non classé","Non classé",IFERROR(INDEX(RefH_Classe,MATCH(TRIM(LEFT(X208,FIND(",",X208&amp;",")-1)),RefH_Code,0)),"Code H inconnu"))))</f>
        <v/>
      </c>
      <c r="Z208" s="50"/>
      <c r="AA208" s="50"/>
      <c r="AB208" s="51"/>
      <c r="AC208" s="51"/>
      <c r="AD208" s="51"/>
      <c r="AE208" s="51"/>
      <c r="AF208" s="50"/>
      <c r="AG208" s="51"/>
      <c r="AH208" s="54"/>
      <c r="AI208" s="51"/>
      <c r="AJ208" s="55" t="str">
        <f aca="false">IF(AH208="","",EDATE(AH208,60))</f>
        <v/>
      </c>
      <c r="AK208" s="49" t="str">
        <f aca="true">IF(B208="","",IF(OR(AG208="Non",AH208=""),"FDS ABSENTE",IF(TODAY()&gt;=EDATE(AH208,60),"EXPIRÉE",IF(TODAY()&gt;=EDATE(AH208,54),"À RENOUVELER","CONFORME"))))</f>
        <v/>
      </c>
      <c r="AL208" s="50"/>
      <c r="AM208" s="54"/>
      <c r="AN208" s="54"/>
      <c r="AO208" s="50"/>
      <c r="AP208" s="50"/>
      <c r="AQ208" s="50"/>
      <c r="AR208" s="50"/>
      <c r="AS208" s="50"/>
      <c r="AT208" s="50"/>
      <c r="AU208" s="50"/>
      <c r="AV208" s="50"/>
      <c r="AW208" s="52"/>
      <c r="AX208" s="52"/>
      <c r="AY208" s="56" t="str">
        <f aca="false">IF(OR(AW208="",AX208=""),"",AW208*AX208)</f>
        <v/>
      </c>
      <c r="AZ208" s="52"/>
      <c r="BA208" s="56" t="str">
        <f aca="false">IF(AY208="","",IF(AZ208="",AY208,ROUNDUP(AY208/AZ208,0)))</f>
        <v/>
      </c>
      <c r="BB208" s="49" t="str">
        <f aca="false">IF(BA208="","",IF(BA208&gt;=15,"P1 – Critique",IF(BA208&gt;=8,"P2 – Élevée",IF(BA208&gt;=4,"P3 – Modérée","P4 – Faible"))))</f>
        <v/>
      </c>
      <c r="BC208" s="50"/>
      <c r="BD208" s="50"/>
      <c r="BE208" s="54"/>
      <c r="BF208" s="57"/>
      <c r="BG208" s="50"/>
      <c r="BH208" s="54"/>
      <c r="BI208" s="54"/>
      <c r="BJ208" s="50"/>
      <c r="BK208" s="50"/>
    </row>
    <row r="209" customFormat="false" ht="15" hidden="false" customHeight="false" outlineLevel="0" collapsed="false">
      <c r="A209" s="49" t="str">
        <f aca="false">IF(B209="","","PC-"&amp;TEXT(ROW()-2,"000"))</f>
        <v/>
      </c>
      <c r="B209" s="50"/>
      <c r="C209" s="50"/>
      <c r="D209" s="51"/>
      <c r="E209" s="51"/>
      <c r="F209" s="51"/>
      <c r="G209" s="50"/>
      <c r="H209" s="50"/>
      <c r="I209" s="50"/>
      <c r="J209" s="51"/>
      <c r="K209" s="50"/>
      <c r="L209" s="50"/>
      <c r="M209" s="50"/>
      <c r="N209" s="50"/>
      <c r="O209" s="52"/>
      <c r="P209" s="50"/>
      <c r="Q209" s="52"/>
      <c r="R209" s="52"/>
      <c r="S209" s="49" t="str">
        <f aca="false">IF(B209="","",IF(OR(O209="",R209=""),"—",IF(O209&lt;=R209,"⚠ RÉAPPRO","OK")))</f>
        <v/>
      </c>
      <c r="T209" s="50"/>
      <c r="U209" s="50"/>
      <c r="V209" s="50"/>
      <c r="W209" s="50"/>
      <c r="X209" s="50"/>
      <c r="Y209" s="53" t="str">
        <f aca="false">IF(B209="","",IF(X209="","—",IF(X209="Non classé","Non classé",IFERROR(INDEX(RefH_Classe,MATCH(TRIM(LEFT(X209,FIND(",",X209&amp;",")-1)),RefH_Code,0)),"Code H inconnu"))))</f>
        <v/>
      </c>
      <c r="Z209" s="50"/>
      <c r="AA209" s="50"/>
      <c r="AB209" s="51"/>
      <c r="AC209" s="51"/>
      <c r="AD209" s="51"/>
      <c r="AE209" s="51"/>
      <c r="AF209" s="50"/>
      <c r="AG209" s="51"/>
      <c r="AH209" s="54"/>
      <c r="AI209" s="51"/>
      <c r="AJ209" s="55" t="str">
        <f aca="false">IF(AH209="","",EDATE(AH209,60))</f>
        <v/>
      </c>
      <c r="AK209" s="49" t="str">
        <f aca="true">IF(B209="","",IF(OR(AG209="Non",AH209=""),"FDS ABSENTE",IF(TODAY()&gt;=EDATE(AH209,60),"EXPIRÉE",IF(TODAY()&gt;=EDATE(AH209,54),"À RENOUVELER","CONFORME"))))</f>
        <v/>
      </c>
      <c r="AL209" s="50"/>
      <c r="AM209" s="54"/>
      <c r="AN209" s="54"/>
      <c r="AO209" s="50"/>
      <c r="AP209" s="50"/>
      <c r="AQ209" s="50"/>
      <c r="AR209" s="50"/>
      <c r="AS209" s="50"/>
      <c r="AT209" s="50"/>
      <c r="AU209" s="50"/>
      <c r="AV209" s="50"/>
      <c r="AW209" s="52"/>
      <c r="AX209" s="52"/>
      <c r="AY209" s="56" t="str">
        <f aca="false">IF(OR(AW209="",AX209=""),"",AW209*AX209)</f>
        <v/>
      </c>
      <c r="AZ209" s="52"/>
      <c r="BA209" s="56" t="str">
        <f aca="false">IF(AY209="","",IF(AZ209="",AY209,ROUNDUP(AY209/AZ209,0)))</f>
        <v/>
      </c>
      <c r="BB209" s="49" t="str">
        <f aca="false">IF(BA209="","",IF(BA209&gt;=15,"P1 – Critique",IF(BA209&gt;=8,"P2 – Élevée",IF(BA209&gt;=4,"P3 – Modérée","P4 – Faible"))))</f>
        <v/>
      </c>
      <c r="BC209" s="50"/>
      <c r="BD209" s="50"/>
      <c r="BE209" s="54"/>
      <c r="BF209" s="57"/>
      <c r="BG209" s="50"/>
      <c r="BH209" s="54"/>
      <c r="BI209" s="54"/>
      <c r="BJ209" s="50"/>
      <c r="BK209" s="50"/>
    </row>
    <row r="210" customFormat="false" ht="15" hidden="false" customHeight="false" outlineLevel="0" collapsed="false">
      <c r="A210" s="49" t="str">
        <f aca="false">IF(B210="","","PC-"&amp;TEXT(ROW()-2,"000"))</f>
        <v/>
      </c>
      <c r="B210" s="50"/>
      <c r="C210" s="50"/>
      <c r="D210" s="51"/>
      <c r="E210" s="51"/>
      <c r="F210" s="51"/>
      <c r="G210" s="50"/>
      <c r="H210" s="50"/>
      <c r="I210" s="50"/>
      <c r="J210" s="51"/>
      <c r="K210" s="50"/>
      <c r="L210" s="50"/>
      <c r="M210" s="50"/>
      <c r="N210" s="50"/>
      <c r="O210" s="52"/>
      <c r="P210" s="50"/>
      <c r="Q210" s="52"/>
      <c r="R210" s="52"/>
      <c r="S210" s="49" t="str">
        <f aca="false">IF(B210="","",IF(OR(O210="",R210=""),"—",IF(O210&lt;=R210,"⚠ RÉAPPRO","OK")))</f>
        <v/>
      </c>
      <c r="T210" s="50"/>
      <c r="U210" s="50"/>
      <c r="V210" s="50"/>
      <c r="W210" s="50"/>
      <c r="X210" s="50"/>
      <c r="Y210" s="53" t="str">
        <f aca="false">IF(B210="","",IF(X210="","—",IF(X210="Non classé","Non classé",IFERROR(INDEX(RefH_Classe,MATCH(TRIM(LEFT(X210,FIND(",",X210&amp;",")-1)),RefH_Code,0)),"Code H inconnu"))))</f>
        <v/>
      </c>
      <c r="Z210" s="50"/>
      <c r="AA210" s="50"/>
      <c r="AB210" s="51"/>
      <c r="AC210" s="51"/>
      <c r="AD210" s="51"/>
      <c r="AE210" s="51"/>
      <c r="AF210" s="50"/>
      <c r="AG210" s="51"/>
      <c r="AH210" s="54"/>
      <c r="AI210" s="51"/>
      <c r="AJ210" s="55" t="str">
        <f aca="false">IF(AH210="","",EDATE(AH210,60))</f>
        <v/>
      </c>
      <c r="AK210" s="49" t="str">
        <f aca="true">IF(B210="","",IF(OR(AG210="Non",AH210=""),"FDS ABSENTE",IF(TODAY()&gt;=EDATE(AH210,60),"EXPIRÉE",IF(TODAY()&gt;=EDATE(AH210,54),"À RENOUVELER","CONFORME"))))</f>
        <v/>
      </c>
      <c r="AL210" s="50"/>
      <c r="AM210" s="54"/>
      <c r="AN210" s="54"/>
      <c r="AO210" s="50"/>
      <c r="AP210" s="50"/>
      <c r="AQ210" s="50"/>
      <c r="AR210" s="50"/>
      <c r="AS210" s="50"/>
      <c r="AT210" s="50"/>
      <c r="AU210" s="50"/>
      <c r="AV210" s="50"/>
      <c r="AW210" s="52"/>
      <c r="AX210" s="52"/>
      <c r="AY210" s="56" t="str">
        <f aca="false">IF(OR(AW210="",AX210=""),"",AW210*AX210)</f>
        <v/>
      </c>
      <c r="AZ210" s="52"/>
      <c r="BA210" s="56" t="str">
        <f aca="false">IF(AY210="","",IF(AZ210="",AY210,ROUNDUP(AY210/AZ210,0)))</f>
        <v/>
      </c>
      <c r="BB210" s="49" t="str">
        <f aca="false">IF(BA210="","",IF(BA210&gt;=15,"P1 – Critique",IF(BA210&gt;=8,"P2 – Élevée",IF(BA210&gt;=4,"P3 – Modérée","P4 – Faible"))))</f>
        <v/>
      </c>
      <c r="BC210" s="50"/>
      <c r="BD210" s="50"/>
      <c r="BE210" s="54"/>
      <c r="BF210" s="57"/>
      <c r="BG210" s="50"/>
      <c r="BH210" s="54"/>
      <c r="BI210" s="54"/>
      <c r="BJ210" s="50"/>
      <c r="BK210" s="50"/>
    </row>
    <row r="211" customFormat="false" ht="15" hidden="false" customHeight="false" outlineLevel="0" collapsed="false">
      <c r="A211" s="49" t="str">
        <f aca="false">IF(B211="","","PC-"&amp;TEXT(ROW()-2,"000"))</f>
        <v/>
      </c>
      <c r="B211" s="50"/>
      <c r="C211" s="50"/>
      <c r="D211" s="51"/>
      <c r="E211" s="51"/>
      <c r="F211" s="51"/>
      <c r="G211" s="50"/>
      <c r="H211" s="50"/>
      <c r="I211" s="50"/>
      <c r="J211" s="51"/>
      <c r="K211" s="50"/>
      <c r="L211" s="50"/>
      <c r="M211" s="50"/>
      <c r="N211" s="50"/>
      <c r="O211" s="52"/>
      <c r="P211" s="50"/>
      <c r="Q211" s="52"/>
      <c r="R211" s="52"/>
      <c r="S211" s="49" t="str">
        <f aca="false">IF(B211="","",IF(OR(O211="",R211=""),"—",IF(O211&lt;=R211,"⚠ RÉAPPRO","OK")))</f>
        <v/>
      </c>
      <c r="T211" s="50"/>
      <c r="U211" s="50"/>
      <c r="V211" s="50"/>
      <c r="W211" s="50"/>
      <c r="X211" s="50"/>
      <c r="Y211" s="53" t="str">
        <f aca="false">IF(B211="","",IF(X211="","—",IF(X211="Non classé","Non classé",IFERROR(INDEX(RefH_Classe,MATCH(TRIM(LEFT(X211,FIND(",",X211&amp;",")-1)),RefH_Code,0)),"Code H inconnu"))))</f>
        <v/>
      </c>
      <c r="Z211" s="50"/>
      <c r="AA211" s="50"/>
      <c r="AB211" s="51"/>
      <c r="AC211" s="51"/>
      <c r="AD211" s="51"/>
      <c r="AE211" s="51"/>
      <c r="AF211" s="50"/>
      <c r="AG211" s="51"/>
      <c r="AH211" s="54"/>
      <c r="AI211" s="51"/>
      <c r="AJ211" s="55" t="str">
        <f aca="false">IF(AH211="","",EDATE(AH211,60))</f>
        <v/>
      </c>
      <c r="AK211" s="49" t="str">
        <f aca="true">IF(B211="","",IF(OR(AG211="Non",AH211=""),"FDS ABSENTE",IF(TODAY()&gt;=EDATE(AH211,60),"EXPIRÉE",IF(TODAY()&gt;=EDATE(AH211,54),"À RENOUVELER","CONFORME"))))</f>
        <v/>
      </c>
      <c r="AL211" s="50"/>
      <c r="AM211" s="54"/>
      <c r="AN211" s="54"/>
      <c r="AO211" s="50"/>
      <c r="AP211" s="50"/>
      <c r="AQ211" s="50"/>
      <c r="AR211" s="50"/>
      <c r="AS211" s="50"/>
      <c r="AT211" s="50"/>
      <c r="AU211" s="50"/>
      <c r="AV211" s="50"/>
      <c r="AW211" s="52"/>
      <c r="AX211" s="52"/>
      <c r="AY211" s="56" t="str">
        <f aca="false">IF(OR(AW211="",AX211=""),"",AW211*AX211)</f>
        <v/>
      </c>
      <c r="AZ211" s="52"/>
      <c r="BA211" s="56" t="str">
        <f aca="false">IF(AY211="","",IF(AZ211="",AY211,ROUNDUP(AY211/AZ211,0)))</f>
        <v/>
      </c>
      <c r="BB211" s="49" t="str">
        <f aca="false">IF(BA211="","",IF(BA211&gt;=15,"P1 – Critique",IF(BA211&gt;=8,"P2 – Élevée",IF(BA211&gt;=4,"P3 – Modérée","P4 – Faible"))))</f>
        <v/>
      </c>
      <c r="BC211" s="50"/>
      <c r="BD211" s="50"/>
      <c r="BE211" s="54"/>
      <c r="BF211" s="57"/>
      <c r="BG211" s="50"/>
      <c r="BH211" s="54"/>
      <c r="BI211" s="54"/>
      <c r="BJ211" s="50"/>
      <c r="BK211" s="50"/>
    </row>
    <row r="212" customFormat="false" ht="15" hidden="false" customHeight="false" outlineLevel="0" collapsed="false">
      <c r="A212" s="49" t="str">
        <f aca="false">IF(B212="","","PC-"&amp;TEXT(ROW()-2,"000"))</f>
        <v/>
      </c>
      <c r="B212" s="50"/>
      <c r="C212" s="50"/>
      <c r="D212" s="51"/>
      <c r="E212" s="51"/>
      <c r="F212" s="51"/>
      <c r="G212" s="50"/>
      <c r="H212" s="50"/>
      <c r="I212" s="50"/>
      <c r="J212" s="51"/>
      <c r="K212" s="50"/>
      <c r="L212" s="50"/>
      <c r="M212" s="50"/>
      <c r="N212" s="50"/>
      <c r="O212" s="52"/>
      <c r="P212" s="50"/>
      <c r="Q212" s="52"/>
      <c r="R212" s="52"/>
      <c r="S212" s="49" t="str">
        <f aca="false">IF(B212="","",IF(OR(O212="",R212=""),"—",IF(O212&lt;=R212,"⚠ RÉAPPRO","OK")))</f>
        <v/>
      </c>
      <c r="T212" s="50"/>
      <c r="U212" s="50"/>
      <c r="V212" s="50"/>
      <c r="W212" s="50"/>
      <c r="X212" s="50"/>
      <c r="Y212" s="53" t="str">
        <f aca="false">IF(B212="","",IF(X212="","—",IF(X212="Non classé","Non classé",IFERROR(INDEX(RefH_Classe,MATCH(TRIM(LEFT(X212,FIND(",",X212&amp;",")-1)),RefH_Code,0)),"Code H inconnu"))))</f>
        <v/>
      </c>
      <c r="Z212" s="50"/>
      <c r="AA212" s="50"/>
      <c r="AB212" s="51"/>
      <c r="AC212" s="51"/>
      <c r="AD212" s="51"/>
      <c r="AE212" s="51"/>
      <c r="AF212" s="50"/>
      <c r="AG212" s="51"/>
      <c r="AH212" s="54"/>
      <c r="AI212" s="51"/>
      <c r="AJ212" s="55" t="str">
        <f aca="false">IF(AH212="","",EDATE(AH212,60))</f>
        <v/>
      </c>
      <c r="AK212" s="49" t="str">
        <f aca="true">IF(B212="","",IF(OR(AG212="Non",AH212=""),"FDS ABSENTE",IF(TODAY()&gt;=EDATE(AH212,60),"EXPIRÉE",IF(TODAY()&gt;=EDATE(AH212,54),"À RENOUVELER","CONFORME"))))</f>
        <v/>
      </c>
      <c r="AL212" s="50"/>
      <c r="AM212" s="54"/>
      <c r="AN212" s="54"/>
      <c r="AO212" s="50"/>
      <c r="AP212" s="50"/>
      <c r="AQ212" s="50"/>
      <c r="AR212" s="50"/>
      <c r="AS212" s="50"/>
      <c r="AT212" s="50"/>
      <c r="AU212" s="50"/>
      <c r="AV212" s="50"/>
      <c r="AW212" s="52"/>
      <c r="AX212" s="52"/>
      <c r="AY212" s="56" t="str">
        <f aca="false">IF(OR(AW212="",AX212=""),"",AW212*AX212)</f>
        <v/>
      </c>
      <c r="AZ212" s="52"/>
      <c r="BA212" s="56" t="str">
        <f aca="false">IF(AY212="","",IF(AZ212="",AY212,ROUNDUP(AY212/AZ212,0)))</f>
        <v/>
      </c>
      <c r="BB212" s="49" t="str">
        <f aca="false">IF(BA212="","",IF(BA212&gt;=15,"P1 – Critique",IF(BA212&gt;=8,"P2 – Élevée",IF(BA212&gt;=4,"P3 – Modérée","P4 – Faible"))))</f>
        <v/>
      </c>
      <c r="BC212" s="50"/>
      <c r="BD212" s="50"/>
      <c r="BE212" s="54"/>
      <c r="BF212" s="57"/>
      <c r="BG212" s="50"/>
      <c r="BH212" s="54"/>
      <c r="BI212" s="54"/>
      <c r="BJ212" s="50"/>
      <c r="BK212" s="50"/>
    </row>
    <row r="213" customFormat="false" ht="15" hidden="false" customHeight="false" outlineLevel="0" collapsed="false">
      <c r="A213" s="49" t="str">
        <f aca="false">IF(B213="","","PC-"&amp;TEXT(ROW()-2,"000"))</f>
        <v/>
      </c>
      <c r="B213" s="50"/>
      <c r="C213" s="50"/>
      <c r="D213" s="51"/>
      <c r="E213" s="51"/>
      <c r="F213" s="51"/>
      <c r="G213" s="50"/>
      <c r="H213" s="50"/>
      <c r="I213" s="50"/>
      <c r="J213" s="51"/>
      <c r="K213" s="50"/>
      <c r="L213" s="50"/>
      <c r="M213" s="50"/>
      <c r="N213" s="50"/>
      <c r="O213" s="52"/>
      <c r="P213" s="50"/>
      <c r="Q213" s="52"/>
      <c r="R213" s="52"/>
      <c r="S213" s="49" t="str">
        <f aca="false">IF(B213="","",IF(OR(O213="",R213=""),"—",IF(O213&lt;=R213,"⚠ RÉAPPRO","OK")))</f>
        <v/>
      </c>
      <c r="T213" s="50"/>
      <c r="U213" s="50"/>
      <c r="V213" s="50"/>
      <c r="W213" s="50"/>
      <c r="X213" s="50"/>
      <c r="Y213" s="53" t="str">
        <f aca="false">IF(B213="","",IF(X213="","—",IF(X213="Non classé","Non classé",IFERROR(INDEX(RefH_Classe,MATCH(TRIM(LEFT(X213,FIND(",",X213&amp;",")-1)),RefH_Code,0)),"Code H inconnu"))))</f>
        <v/>
      </c>
      <c r="Z213" s="50"/>
      <c r="AA213" s="50"/>
      <c r="AB213" s="51"/>
      <c r="AC213" s="51"/>
      <c r="AD213" s="51"/>
      <c r="AE213" s="51"/>
      <c r="AF213" s="50"/>
      <c r="AG213" s="51"/>
      <c r="AH213" s="54"/>
      <c r="AI213" s="51"/>
      <c r="AJ213" s="55" t="str">
        <f aca="false">IF(AH213="","",EDATE(AH213,60))</f>
        <v/>
      </c>
      <c r="AK213" s="49" t="str">
        <f aca="true">IF(B213="","",IF(OR(AG213="Non",AH213=""),"FDS ABSENTE",IF(TODAY()&gt;=EDATE(AH213,60),"EXPIRÉE",IF(TODAY()&gt;=EDATE(AH213,54),"À RENOUVELER","CONFORME"))))</f>
        <v/>
      </c>
      <c r="AL213" s="50"/>
      <c r="AM213" s="54"/>
      <c r="AN213" s="54"/>
      <c r="AO213" s="50"/>
      <c r="AP213" s="50"/>
      <c r="AQ213" s="50"/>
      <c r="AR213" s="50"/>
      <c r="AS213" s="50"/>
      <c r="AT213" s="50"/>
      <c r="AU213" s="50"/>
      <c r="AV213" s="50"/>
      <c r="AW213" s="52"/>
      <c r="AX213" s="52"/>
      <c r="AY213" s="56" t="str">
        <f aca="false">IF(OR(AW213="",AX213=""),"",AW213*AX213)</f>
        <v/>
      </c>
      <c r="AZ213" s="52"/>
      <c r="BA213" s="56" t="str">
        <f aca="false">IF(AY213="","",IF(AZ213="",AY213,ROUNDUP(AY213/AZ213,0)))</f>
        <v/>
      </c>
      <c r="BB213" s="49" t="str">
        <f aca="false">IF(BA213="","",IF(BA213&gt;=15,"P1 – Critique",IF(BA213&gt;=8,"P2 – Élevée",IF(BA213&gt;=4,"P3 – Modérée","P4 – Faible"))))</f>
        <v/>
      </c>
      <c r="BC213" s="50"/>
      <c r="BD213" s="50"/>
      <c r="BE213" s="54"/>
      <c r="BF213" s="57"/>
      <c r="BG213" s="50"/>
      <c r="BH213" s="54"/>
      <c r="BI213" s="54"/>
      <c r="BJ213" s="50"/>
      <c r="BK213" s="50"/>
    </row>
    <row r="214" customFormat="false" ht="15" hidden="false" customHeight="false" outlineLevel="0" collapsed="false">
      <c r="A214" s="49" t="str">
        <f aca="false">IF(B214="","","PC-"&amp;TEXT(ROW()-2,"000"))</f>
        <v/>
      </c>
      <c r="B214" s="50"/>
      <c r="C214" s="50"/>
      <c r="D214" s="51"/>
      <c r="E214" s="51"/>
      <c r="F214" s="51"/>
      <c r="G214" s="50"/>
      <c r="H214" s="50"/>
      <c r="I214" s="50"/>
      <c r="J214" s="51"/>
      <c r="K214" s="50"/>
      <c r="L214" s="50"/>
      <c r="M214" s="50"/>
      <c r="N214" s="50"/>
      <c r="O214" s="52"/>
      <c r="P214" s="50"/>
      <c r="Q214" s="52"/>
      <c r="R214" s="52"/>
      <c r="S214" s="49" t="str">
        <f aca="false">IF(B214="","",IF(OR(O214="",R214=""),"—",IF(O214&lt;=R214,"⚠ RÉAPPRO","OK")))</f>
        <v/>
      </c>
      <c r="T214" s="50"/>
      <c r="U214" s="50"/>
      <c r="V214" s="50"/>
      <c r="W214" s="50"/>
      <c r="X214" s="50"/>
      <c r="Y214" s="53" t="str">
        <f aca="false">IF(B214="","",IF(X214="","—",IF(X214="Non classé","Non classé",IFERROR(INDEX(RefH_Classe,MATCH(TRIM(LEFT(X214,FIND(",",X214&amp;",")-1)),RefH_Code,0)),"Code H inconnu"))))</f>
        <v/>
      </c>
      <c r="Z214" s="50"/>
      <c r="AA214" s="50"/>
      <c r="AB214" s="51"/>
      <c r="AC214" s="51"/>
      <c r="AD214" s="51"/>
      <c r="AE214" s="51"/>
      <c r="AF214" s="50"/>
      <c r="AG214" s="51"/>
      <c r="AH214" s="54"/>
      <c r="AI214" s="51"/>
      <c r="AJ214" s="55" t="str">
        <f aca="false">IF(AH214="","",EDATE(AH214,60))</f>
        <v/>
      </c>
      <c r="AK214" s="49" t="str">
        <f aca="true">IF(B214="","",IF(OR(AG214="Non",AH214=""),"FDS ABSENTE",IF(TODAY()&gt;=EDATE(AH214,60),"EXPIRÉE",IF(TODAY()&gt;=EDATE(AH214,54),"À RENOUVELER","CONFORME"))))</f>
        <v/>
      </c>
      <c r="AL214" s="50"/>
      <c r="AM214" s="54"/>
      <c r="AN214" s="54"/>
      <c r="AO214" s="50"/>
      <c r="AP214" s="50"/>
      <c r="AQ214" s="50"/>
      <c r="AR214" s="50"/>
      <c r="AS214" s="50"/>
      <c r="AT214" s="50"/>
      <c r="AU214" s="50"/>
      <c r="AV214" s="50"/>
      <c r="AW214" s="52"/>
      <c r="AX214" s="52"/>
      <c r="AY214" s="56" t="str">
        <f aca="false">IF(OR(AW214="",AX214=""),"",AW214*AX214)</f>
        <v/>
      </c>
      <c r="AZ214" s="52"/>
      <c r="BA214" s="56" t="str">
        <f aca="false">IF(AY214="","",IF(AZ214="",AY214,ROUNDUP(AY214/AZ214,0)))</f>
        <v/>
      </c>
      <c r="BB214" s="49" t="str">
        <f aca="false">IF(BA214="","",IF(BA214&gt;=15,"P1 – Critique",IF(BA214&gt;=8,"P2 – Élevée",IF(BA214&gt;=4,"P3 – Modérée","P4 – Faible"))))</f>
        <v/>
      </c>
      <c r="BC214" s="50"/>
      <c r="BD214" s="50"/>
      <c r="BE214" s="54"/>
      <c r="BF214" s="57"/>
      <c r="BG214" s="50"/>
      <c r="BH214" s="54"/>
      <c r="BI214" s="54"/>
      <c r="BJ214" s="50"/>
      <c r="BK214" s="50"/>
    </row>
    <row r="215" customFormat="false" ht="15" hidden="false" customHeight="false" outlineLevel="0" collapsed="false">
      <c r="A215" s="49" t="str">
        <f aca="false">IF(B215="","","PC-"&amp;TEXT(ROW()-2,"000"))</f>
        <v/>
      </c>
      <c r="B215" s="50"/>
      <c r="C215" s="50"/>
      <c r="D215" s="51"/>
      <c r="E215" s="51"/>
      <c r="F215" s="51"/>
      <c r="G215" s="50"/>
      <c r="H215" s="50"/>
      <c r="I215" s="50"/>
      <c r="J215" s="51"/>
      <c r="K215" s="50"/>
      <c r="L215" s="50"/>
      <c r="M215" s="50"/>
      <c r="N215" s="50"/>
      <c r="O215" s="52"/>
      <c r="P215" s="50"/>
      <c r="Q215" s="52"/>
      <c r="R215" s="52"/>
      <c r="S215" s="49" t="str">
        <f aca="false">IF(B215="","",IF(OR(O215="",R215=""),"—",IF(O215&lt;=R215,"⚠ RÉAPPRO","OK")))</f>
        <v/>
      </c>
      <c r="T215" s="50"/>
      <c r="U215" s="50"/>
      <c r="V215" s="50"/>
      <c r="W215" s="50"/>
      <c r="X215" s="50"/>
      <c r="Y215" s="53" t="str">
        <f aca="false">IF(B215="","",IF(X215="","—",IF(X215="Non classé","Non classé",IFERROR(INDEX(RefH_Classe,MATCH(TRIM(LEFT(X215,FIND(",",X215&amp;",")-1)),RefH_Code,0)),"Code H inconnu"))))</f>
        <v/>
      </c>
      <c r="Z215" s="50"/>
      <c r="AA215" s="50"/>
      <c r="AB215" s="51"/>
      <c r="AC215" s="51"/>
      <c r="AD215" s="51"/>
      <c r="AE215" s="51"/>
      <c r="AF215" s="50"/>
      <c r="AG215" s="51"/>
      <c r="AH215" s="54"/>
      <c r="AI215" s="51"/>
      <c r="AJ215" s="55" t="str">
        <f aca="false">IF(AH215="","",EDATE(AH215,60))</f>
        <v/>
      </c>
      <c r="AK215" s="49" t="str">
        <f aca="true">IF(B215="","",IF(OR(AG215="Non",AH215=""),"FDS ABSENTE",IF(TODAY()&gt;=EDATE(AH215,60),"EXPIRÉE",IF(TODAY()&gt;=EDATE(AH215,54),"À RENOUVELER","CONFORME"))))</f>
        <v/>
      </c>
      <c r="AL215" s="50"/>
      <c r="AM215" s="54"/>
      <c r="AN215" s="54"/>
      <c r="AO215" s="50"/>
      <c r="AP215" s="50"/>
      <c r="AQ215" s="50"/>
      <c r="AR215" s="50"/>
      <c r="AS215" s="50"/>
      <c r="AT215" s="50"/>
      <c r="AU215" s="50"/>
      <c r="AV215" s="50"/>
      <c r="AW215" s="52"/>
      <c r="AX215" s="52"/>
      <c r="AY215" s="56" t="str">
        <f aca="false">IF(OR(AW215="",AX215=""),"",AW215*AX215)</f>
        <v/>
      </c>
      <c r="AZ215" s="52"/>
      <c r="BA215" s="56" t="str">
        <f aca="false">IF(AY215="","",IF(AZ215="",AY215,ROUNDUP(AY215/AZ215,0)))</f>
        <v/>
      </c>
      <c r="BB215" s="49" t="str">
        <f aca="false">IF(BA215="","",IF(BA215&gt;=15,"P1 – Critique",IF(BA215&gt;=8,"P2 – Élevée",IF(BA215&gt;=4,"P3 – Modérée","P4 – Faible"))))</f>
        <v/>
      </c>
      <c r="BC215" s="50"/>
      <c r="BD215" s="50"/>
      <c r="BE215" s="54"/>
      <c r="BF215" s="57"/>
      <c r="BG215" s="50"/>
      <c r="BH215" s="54"/>
      <c r="BI215" s="54"/>
      <c r="BJ215" s="50"/>
      <c r="BK215" s="50"/>
    </row>
    <row r="216" customFormat="false" ht="15" hidden="false" customHeight="false" outlineLevel="0" collapsed="false">
      <c r="A216" s="49" t="str">
        <f aca="false">IF(B216="","","PC-"&amp;TEXT(ROW()-2,"000"))</f>
        <v/>
      </c>
      <c r="B216" s="50"/>
      <c r="C216" s="50"/>
      <c r="D216" s="51"/>
      <c r="E216" s="51"/>
      <c r="F216" s="51"/>
      <c r="G216" s="50"/>
      <c r="H216" s="50"/>
      <c r="I216" s="50"/>
      <c r="J216" s="51"/>
      <c r="K216" s="50"/>
      <c r="L216" s="50"/>
      <c r="M216" s="50"/>
      <c r="N216" s="50"/>
      <c r="O216" s="52"/>
      <c r="P216" s="50"/>
      <c r="Q216" s="52"/>
      <c r="R216" s="52"/>
      <c r="S216" s="49" t="str">
        <f aca="false">IF(B216="","",IF(OR(O216="",R216=""),"—",IF(O216&lt;=R216,"⚠ RÉAPPRO","OK")))</f>
        <v/>
      </c>
      <c r="T216" s="50"/>
      <c r="U216" s="50"/>
      <c r="V216" s="50"/>
      <c r="W216" s="50"/>
      <c r="X216" s="50"/>
      <c r="Y216" s="53" t="str">
        <f aca="false">IF(B216="","",IF(X216="","—",IF(X216="Non classé","Non classé",IFERROR(INDEX(RefH_Classe,MATCH(TRIM(LEFT(X216,FIND(",",X216&amp;",")-1)),RefH_Code,0)),"Code H inconnu"))))</f>
        <v/>
      </c>
      <c r="Z216" s="50"/>
      <c r="AA216" s="50"/>
      <c r="AB216" s="51"/>
      <c r="AC216" s="51"/>
      <c r="AD216" s="51"/>
      <c r="AE216" s="51"/>
      <c r="AF216" s="50"/>
      <c r="AG216" s="51"/>
      <c r="AH216" s="54"/>
      <c r="AI216" s="51"/>
      <c r="AJ216" s="55" t="str">
        <f aca="false">IF(AH216="","",EDATE(AH216,60))</f>
        <v/>
      </c>
      <c r="AK216" s="49" t="str">
        <f aca="true">IF(B216="","",IF(OR(AG216="Non",AH216=""),"FDS ABSENTE",IF(TODAY()&gt;=EDATE(AH216,60),"EXPIRÉE",IF(TODAY()&gt;=EDATE(AH216,54),"À RENOUVELER","CONFORME"))))</f>
        <v/>
      </c>
      <c r="AL216" s="50"/>
      <c r="AM216" s="54"/>
      <c r="AN216" s="54"/>
      <c r="AO216" s="50"/>
      <c r="AP216" s="50"/>
      <c r="AQ216" s="50"/>
      <c r="AR216" s="50"/>
      <c r="AS216" s="50"/>
      <c r="AT216" s="50"/>
      <c r="AU216" s="50"/>
      <c r="AV216" s="50"/>
      <c r="AW216" s="52"/>
      <c r="AX216" s="52"/>
      <c r="AY216" s="56" t="str">
        <f aca="false">IF(OR(AW216="",AX216=""),"",AW216*AX216)</f>
        <v/>
      </c>
      <c r="AZ216" s="52"/>
      <c r="BA216" s="56" t="str">
        <f aca="false">IF(AY216="","",IF(AZ216="",AY216,ROUNDUP(AY216/AZ216,0)))</f>
        <v/>
      </c>
      <c r="BB216" s="49" t="str">
        <f aca="false">IF(BA216="","",IF(BA216&gt;=15,"P1 – Critique",IF(BA216&gt;=8,"P2 – Élevée",IF(BA216&gt;=4,"P3 – Modérée","P4 – Faible"))))</f>
        <v/>
      </c>
      <c r="BC216" s="50"/>
      <c r="BD216" s="50"/>
      <c r="BE216" s="54"/>
      <c r="BF216" s="57"/>
      <c r="BG216" s="50"/>
      <c r="BH216" s="54"/>
      <c r="BI216" s="54"/>
      <c r="BJ216" s="50"/>
      <c r="BK216" s="50"/>
    </row>
    <row r="217" customFormat="false" ht="15" hidden="false" customHeight="false" outlineLevel="0" collapsed="false">
      <c r="A217" s="49" t="str">
        <f aca="false">IF(B217="","","PC-"&amp;TEXT(ROW()-2,"000"))</f>
        <v/>
      </c>
      <c r="B217" s="50"/>
      <c r="C217" s="50"/>
      <c r="D217" s="51"/>
      <c r="E217" s="51"/>
      <c r="F217" s="51"/>
      <c r="G217" s="50"/>
      <c r="H217" s="50"/>
      <c r="I217" s="50"/>
      <c r="J217" s="51"/>
      <c r="K217" s="50"/>
      <c r="L217" s="50"/>
      <c r="M217" s="50"/>
      <c r="N217" s="50"/>
      <c r="O217" s="52"/>
      <c r="P217" s="50"/>
      <c r="Q217" s="52"/>
      <c r="R217" s="52"/>
      <c r="S217" s="49" t="str">
        <f aca="false">IF(B217="","",IF(OR(O217="",R217=""),"—",IF(O217&lt;=R217,"⚠ RÉAPPRO","OK")))</f>
        <v/>
      </c>
      <c r="T217" s="50"/>
      <c r="U217" s="50"/>
      <c r="V217" s="50"/>
      <c r="W217" s="50"/>
      <c r="X217" s="50"/>
      <c r="Y217" s="53" t="str">
        <f aca="false">IF(B217="","",IF(X217="","—",IF(X217="Non classé","Non classé",IFERROR(INDEX(RefH_Classe,MATCH(TRIM(LEFT(X217,FIND(",",X217&amp;",")-1)),RefH_Code,0)),"Code H inconnu"))))</f>
        <v/>
      </c>
      <c r="Z217" s="50"/>
      <c r="AA217" s="50"/>
      <c r="AB217" s="51"/>
      <c r="AC217" s="51"/>
      <c r="AD217" s="51"/>
      <c r="AE217" s="51"/>
      <c r="AF217" s="50"/>
      <c r="AG217" s="51"/>
      <c r="AH217" s="54"/>
      <c r="AI217" s="51"/>
      <c r="AJ217" s="55" t="str">
        <f aca="false">IF(AH217="","",EDATE(AH217,60))</f>
        <v/>
      </c>
      <c r="AK217" s="49" t="str">
        <f aca="true">IF(B217="","",IF(OR(AG217="Non",AH217=""),"FDS ABSENTE",IF(TODAY()&gt;=EDATE(AH217,60),"EXPIRÉE",IF(TODAY()&gt;=EDATE(AH217,54),"À RENOUVELER","CONFORME"))))</f>
        <v/>
      </c>
      <c r="AL217" s="50"/>
      <c r="AM217" s="54"/>
      <c r="AN217" s="54"/>
      <c r="AO217" s="50"/>
      <c r="AP217" s="50"/>
      <c r="AQ217" s="50"/>
      <c r="AR217" s="50"/>
      <c r="AS217" s="50"/>
      <c r="AT217" s="50"/>
      <c r="AU217" s="50"/>
      <c r="AV217" s="50"/>
      <c r="AW217" s="52"/>
      <c r="AX217" s="52"/>
      <c r="AY217" s="56" t="str">
        <f aca="false">IF(OR(AW217="",AX217=""),"",AW217*AX217)</f>
        <v/>
      </c>
      <c r="AZ217" s="52"/>
      <c r="BA217" s="56" t="str">
        <f aca="false">IF(AY217="","",IF(AZ217="",AY217,ROUNDUP(AY217/AZ217,0)))</f>
        <v/>
      </c>
      <c r="BB217" s="49" t="str">
        <f aca="false">IF(BA217="","",IF(BA217&gt;=15,"P1 – Critique",IF(BA217&gt;=8,"P2 – Élevée",IF(BA217&gt;=4,"P3 – Modérée","P4 – Faible"))))</f>
        <v/>
      </c>
      <c r="BC217" s="50"/>
      <c r="BD217" s="50"/>
      <c r="BE217" s="54"/>
      <c r="BF217" s="57"/>
      <c r="BG217" s="50"/>
      <c r="BH217" s="54"/>
      <c r="BI217" s="54"/>
      <c r="BJ217" s="50"/>
      <c r="BK217" s="50"/>
    </row>
    <row r="218" customFormat="false" ht="15" hidden="false" customHeight="false" outlineLevel="0" collapsed="false">
      <c r="A218" s="49" t="str">
        <f aca="false">IF(B218="","","PC-"&amp;TEXT(ROW()-2,"000"))</f>
        <v/>
      </c>
      <c r="B218" s="50"/>
      <c r="C218" s="50"/>
      <c r="D218" s="51"/>
      <c r="E218" s="51"/>
      <c r="F218" s="51"/>
      <c r="G218" s="50"/>
      <c r="H218" s="50"/>
      <c r="I218" s="50"/>
      <c r="J218" s="51"/>
      <c r="K218" s="50"/>
      <c r="L218" s="50"/>
      <c r="M218" s="50"/>
      <c r="N218" s="50"/>
      <c r="O218" s="52"/>
      <c r="P218" s="50"/>
      <c r="Q218" s="52"/>
      <c r="R218" s="52"/>
      <c r="S218" s="49" t="str">
        <f aca="false">IF(B218="","",IF(OR(O218="",R218=""),"—",IF(O218&lt;=R218,"⚠ RÉAPPRO","OK")))</f>
        <v/>
      </c>
      <c r="T218" s="50"/>
      <c r="U218" s="50"/>
      <c r="V218" s="50"/>
      <c r="W218" s="50"/>
      <c r="X218" s="50"/>
      <c r="Y218" s="53" t="str">
        <f aca="false">IF(B218="","",IF(X218="","—",IF(X218="Non classé","Non classé",IFERROR(INDEX(RefH_Classe,MATCH(TRIM(LEFT(X218,FIND(",",X218&amp;",")-1)),RefH_Code,0)),"Code H inconnu"))))</f>
        <v/>
      </c>
      <c r="Z218" s="50"/>
      <c r="AA218" s="50"/>
      <c r="AB218" s="51"/>
      <c r="AC218" s="51"/>
      <c r="AD218" s="51"/>
      <c r="AE218" s="51"/>
      <c r="AF218" s="50"/>
      <c r="AG218" s="51"/>
      <c r="AH218" s="54"/>
      <c r="AI218" s="51"/>
      <c r="AJ218" s="55" t="str">
        <f aca="false">IF(AH218="","",EDATE(AH218,60))</f>
        <v/>
      </c>
      <c r="AK218" s="49" t="str">
        <f aca="true">IF(B218="","",IF(OR(AG218="Non",AH218=""),"FDS ABSENTE",IF(TODAY()&gt;=EDATE(AH218,60),"EXPIRÉE",IF(TODAY()&gt;=EDATE(AH218,54),"À RENOUVELER","CONFORME"))))</f>
        <v/>
      </c>
      <c r="AL218" s="50"/>
      <c r="AM218" s="54"/>
      <c r="AN218" s="54"/>
      <c r="AO218" s="50"/>
      <c r="AP218" s="50"/>
      <c r="AQ218" s="50"/>
      <c r="AR218" s="50"/>
      <c r="AS218" s="50"/>
      <c r="AT218" s="50"/>
      <c r="AU218" s="50"/>
      <c r="AV218" s="50"/>
      <c r="AW218" s="52"/>
      <c r="AX218" s="52"/>
      <c r="AY218" s="56" t="str">
        <f aca="false">IF(OR(AW218="",AX218=""),"",AW218*AX218)</f>
        <v/>
      </c>
      <c r="AZ218" s="52"/>
      <c r="BA218" s="56" t="str">
        <f aca="false">IF(AY218="","",IF(AZ218="",AY218,ROUNDUP(AY218/AZ218,0)))</f>
        <v/>
      </c>
      <c r="BB218" s="49" t="str">
        <f aca="false">IF(BA218="","",IF(BA218&gt;=15,"P1 – Critique",IF(BA218&gt;=8,"P2 – Élevée",IF(BA218&gt;=4,"P3 – Modérée","P4 – Faible"))))</f>
        <v/>
      </c>
      <c r="BC218" s="50"/>
      <c r="BD218" s="50"/>
      <c r="BE218" s="54"/>
      <c r="BF218" s="57"/>
      <c r="BG218" s="50"/>
      <c r="BH218" s="54"/>
      <c r="BI218" s="54"/>
      <c r="BJ218" s="50"/>
      <c r="BK218" s="50"/>
    </row>
    <row r="219" customFormat="false" ht="15" hidden="false" customHeight="false" outlineLevel="0" collapsed="false">
      <c r="A219" s="49" t="str">
        <f aca="false">IF(B219="","","PC-"&amp;TEXT(ROW()-2,"000"))</f>
        <v/>
      </c>
      <c r="B219" s="50"/>
      <c r="C219" s="50"/>
      <c r="D219" s="51"/>
      <c r="E219" s="51"/>
      <c r="F219" s="51"/>
      <c r="G219" s="50"/>
      <c r="H219" s="50"/>
      <c r="I219" s="50"/>
      <c r="J219" s="51"/>
      <c r="K219" s="50"/>
      <c r="L219" s="50"/>
      <c r="M219" s="50"/>
      <c r="N219" s="50"/>
      <c r="O219" s="52"/>
      <c r="P219" s="50"/>
      <c r="Q219" s="52"/>
      <c r="R219" s="52"/>
      <c r="S219" s="49" t="str">
        <f aca="false">IF(B219="","",IF(OR(O219="",R219=""),"—",IF(O219&lt;=R219,"⚠ RÉAPPRO","OK")))</f>
        <v/>
      </c>
      <c r="T219" s="50"/>
      <c r="U219" s="50"/>
      <c r="V219" s="50"/>
      <c r="W219" s="50"/>
      <c r="X219" s="50"/>
      <c r="Y219" s="53" t="str">
        <f aca="false">IF(B219="","",IF(X219="","—",IF(X219="Non classé","Non classé",IFERROR(INDEX(RefH_Classe,MATCH(TRIM(LEFT(X219,FIND(",",X219&amp;",")-1)),RefH_Code,0)),"Code H inconnu"))))</f>
        <v/>
      </c>
      <c r="Z219" s="50"/>
      <c r="AA219" s="50"/>
      <c r="AB219" s="51"/>
      <c r="AC219" s="51"/>
      <c r="AD219" s="51"/>
      <c r="AE219" s="51"/>
      <c r="AF219" s="50"/>
      <c r="AG219" s="51"/>
      <c r="AH219" s="54"/>
      <c r="AI219" s="51"/>
      <c r="AJ219" s="55" t="str">
        <f aca="false">IF(AH219="","",EDATE(AH219,60))</f>
        <v/>
      </c>
      <c r="AK219" s="49" t="str">
        <f aca="true">IF(B219="","",IF(OR(AG219="Non",AH219=""),"FDS ABSENTE",IF(TODAY()&gt;=EDATE(AH219,60),"EXPIRÉE",IF(TODAY()&gt;=EDATE(AH219,54),"À RENOUVELER","CONFORME"))))</f>
        <v/>
      </c>
      <c r="AL219" s="50"/>
      <c r="AM219" s="54"/>
      <c r="AN219" s="54"/>
      <c r="AO219" s="50"/>
      <c r="AP219" s="50"/>
      <c r="AQ219" s="50"/>
      <c r="AR219" s="50"/>
      <c r="AS219" s="50"/>
      <c r="AT219" s="50"/>
      <c r="AU219" s="50"/>
      <c r="AV219" s="50"/>
      <c r="AW219" s="52"/>
      <c r="AX219" s="52"/>
      <c r="AY219" s="56" t="str">
        <f aca="false">IF(OR(AW219="",AX219=""),"",AW219*AX219)</f>
        <v/>
      </c>
      <c r="AZ219" s="52"/>
      <c r="BA219" s="56" t="str">
        <f aca="false">IF(AY219="","",IF(AZ219="",AY219,ROUNDUP(AY219/AZ219,0)))</f>
        <v/>
      </c>
      <c r="BB219" s="49" t="str">
        <f aca="false">IF(BA219="","",IF(BA219&gt;=15,"P1 – Critique",IF(BA219&gt;=8,"P2 – Élevée",IF(BA219&gt;=4,"P3 – Modérée","P4 – Faible"))))</f>
        <v/>
      </c>
      <c r="BC219" s="50"/>
      <c r="BD219" s="50"/>
      <c r="BE219" s="54"/>
      <c r="BF219" s="57"/>
      <c r="BG219" s="50"/>
      <c r="BH219" s="54"/>
      <c r="BI219" s="54"/>
      <c r="BJ219" s="50"/>
      <c r="BK219" s="50"/>
    </row>
    <row r="220" customFormat="false" ht="15" hidden="false" customHeight="false" outlineLevel="0" collapsed="false">
      <c r="A220" s="49" t="str">
        <f aca="false">IF(B220="","","PC-"&amp;TEXT(ROW()-2,"000"))</f>
        <v/>
      </c>
      <c r="B220" s="50"/>
      <c r="C220" s="50"/>
      <c r="D220" s="51"/>
      <c r="E220" s="51"/>
      <c r="F220" s="51"/>
      <c r="G220" s="50"/>
      <c r="H220" s="50"/>
      <c r="I220" s="50"/>
      <c r="J220" s="51"/>
      <c r="K220" s="50"/>
      <c r="L220" s="50"/>
      <c r="M220" s="50"/>
      <c r="N220" s="50"/>
      <c r="O220" s="52"/>
      <c r="P220" s="50"/>
      <c r="Q220" s="52"/>
      <c r="R220" s="52"/>
      <c r="S220" s="49" t="str">
        <f aca="false">IF(B220="","",IF(OR(O220="",R220=""),"—",IF(O220&lt;=R220,"⚠ RÉAPPRO","OK")))</f>
        <v/>
      </c>
      <c r="T220" s="50"/>
      <c r="U220" s="50"/>
      <c r="V220" s="50"/>
      <c r="W220" s="50"/>
      <c r="X220" s="50"/>
      <c r="Y220" s="53" t="str">
        <f aca="false">IF(B220="","",IF(X220="","—",IF(X220="Non classé","Non classé",IFERROR(INDEX(RefH_Classe,MATCH(TRIM(LEFT(X220,FIND(",",X220&amp;",")-1)),RefH_Code,0)),"Code H inconnu"))))</f>
        <v/>
      </c>
      <c r="Z220" s="50"/>
      <c r="AA220" s="50"/>
      <c r="AB220" s="51"/>
      <c r="AC220" s="51"/>
      <c r="AD220" s="51"/>
      <c r="AE220" s="51"/>
      <c r="AF220" s="50"/>
      <c r="AG220" s="51"/>
      <c r="AH220" s="54"/>
      <c r="AI220" s="51"/>
      <c r="AJ220" s="55" t="str">
        <f aca="false">IF(AH220="","",EDATE(AH220,60))</f>
        <v/>
      </c>
      <c r="AK220" s="49" t="str">
        <f aca="true">IF(B220="","",IF(OR(AG220="Non",AH220=""),"FDS ABSENTE",IF(TODAY()&gt;=EDATE(AH220,60),"EXPIRÉE",IF(TODAY()&gt;=EDATE(AH220,54),"À RENOUVELER","CONFORME"))))</f>
        <v/>
      </c>
      <c r="AL220" s="50"/>
      <c r="AM220" s="54"/>
      <c r="AN220" s="54"/>
      <c r="AO220" s="50"/>
      <c r="AP220" s="50"/>
      <c r="AQ220" s="50"/>
      <c r="AR220" s="50"/>
      <c r="AS220" s="50"/>
      <c r="AT220" s="50"/>
      <c r="AU220" s="50"/>
      <c r="AV220" s="50"/>
      <c r="AW220" s="52"/>
      <c r="AX220" s="52"/>
      <c r="AY220" s="56" t="str">
        <f aca="false">IF(OR(AW220="",AX220=""),"",AW220*AX220)</f>
        <v/>
      </c>
      <c r="AZ220" s="52"/>
      <c r="BA220" s="56" t="str">
        <f aca="false">IF(AY220="","",IF(AZ220="",AY220,ROUNDUP(AY220/AZ220,0)))</f>
        <v/>
      </c>
      <c r="BB220" s="49" t="str">
        <f aca="false">IF(BA220="","",IF(BA220&gt;=15,"P1 – Critique",IF(BA220&gt;=8,"P2 – Élevée",IF(BA220&gt;=4,"P3 – Modérée","P4 – Faible"))))</f>
        <v/>
      </c>
      <c r="BC220" s="50"/>
      <c r="BD220" s="50"/>
      <c r="BE220" s="54"/>
      <c r="BF220" s="57"/>
      <c r="BG220" s="50"/>
      <c r="BH220" s="54"/>
      <c r="BI220" s="54"/>
      <c r="BJ220" s="50"/>
      <c r="BK220" s="50"/>
    </row>
    <row r="221" customFormat="false" ht="15" hidden="false" customHeight="false" outlineLevel="0" collapsed="false">
      <c r="A221" s="49" t="str">
        <f aca="false">IF(B221="","","PC-"&amp;TEXT(ROW()-2,"000"))</f>
        <v/>
      </c>
      <c r="B221" s="50"/>
      <c r="C221" s="50"/>
      <c r="D221" s="51"/>
      <c r="E221" s="51"/>
      <c r="F221" s="51"/>
      <c r="G221" s="50"/>
      <c r="H221" s="50"/>
      <c r="I221" s="50"/>
      <c r="J221" s="51"/>
      <c r="K221" s="50"/>
      <c r="L221" s="50"/>
      <c r="M221" s="50"/>
      <c r="N221" s="50"/>
      <c r="O221" s="52"/>
      <c r="P221" s="50"/>
      <c r="Q221" s="52"/>
      <c r="R221" s="52"/>
      <c r="S221" s="49" t="str">
        <f aca="false">IF(B221="","",IF(OR(O221="",R221=""),"—",IF(O221&lt;=R221,"⚠ RÉAPPRO","OK")))</f>
        <v/>
      </c>
      <c r="T221" s="50"/>
      <c r="U221" s="50"/>
      <c r="V221" s="50"/>
      <c r="W221" s="50"/>
      <c r="X221" s="50"/>
      <c r="Y221" s="53" t="str">
        <f aca="false">IF(B221="","",IF(X221="","—",IF(X221="Non classé","Non classé",IFERROR(INDEX(RefH_Classe,MATCH(TRIM(LEFT(X221,FIND(",",X221&amp;",")-1)),RefH_Code,0)),"Code H inconnu"))))</f>
        <v/>
      </c>
      <c r="Z221" s="50"/>
      <c r="AA221" s="50"/>
      <c r="AB221" s="51"/>
      <c r="AC221" s="51"/>
      <c r="AD221" s="51"/>
      <c r="AE221" s="51"/>
      <c r="AF221" s="50"/>
      <c r="AG221" s="51"/>
      <c r="AH221" s="54"/>
      <c r="AI221" s="51"/>
      <c r="AJ221" s="55" t="str">
        <f aca="false">IF(AH221="","",EDATE(AH221,60))</f>
        <v/>
      </c>
      <c r="AK221" s="49" t="str">
        <f aca="true">IF(B221="","",IF(OR(AG221="Non",AH221=""),"FDS ABSENTE",IF(TODAY()&gt;=EDATE(AH221,60),"EXPIRÉE",IF(TODAY()&gt;=EDATE(AH221,54),"À RENOUVELER","CONFORME"))))</f>
        <v/>
      </c>
      <c r="AL221" s="50"/>
      <c r="AM221" s="54"/>
      <c r="AN221" s="54"/>
      <c r="AO221" s="50"/>
      <c r="AP221" s="50"/>
      <c r="AQ221" s="50"/>
      <c r="AR221" s="50"/>
      <c r="AS221" s="50"/>
      <c r="AT221" s="50"/>
      <c r="AU221" s="50"/>
      <c r="AV221" s="50"/>
      <c r="AW221" s="52"/>
      <c r="AX221" s="52"/>
      <c r="AY221" s="56" t="str">
        <f aca="false">IF(OR(AW221="",AX221=""),"",AW221*AX221)</f>
        <v/>
      </c>
      <c r="AZ221" s="52"/>
      <c r="BA221" s="56" t="str">
        <f aca="false">IF(AY221="","",IF(AZ221="",AY221,ROUNDUP(AY221/AZ221,0)))</f>
        <v/>
      </c>
      <c r="BB221" s="49" t="str">
        <f aca="false">IF(BA221="","",IF(BA221&gt;=15,"P1 – Critique",IF(BA221&gt;=8,"P2 – Élevée",IF(BA221&gt;=4,"P3 – Modérée","P4 – Faible"))))</f>
        <v/>
      </c>
      <c r="BC221" s="50"/>
      <c r="BD221" s="50"/>
      <c r="BE221" s="54"/>
      <c r="BF221" s="57"/>
      <c r="BG221" s="50"/>
      <c r="BH221" s="54"/>
      <c r="BI221" s="54"/>
      <c r="BJ221" s="50"/>
      <c r="BK221" s="50"/>
    </row>
    <row r="222" customFormat="false" ht="15" hidden="false" customHeight="false" outlineLevel="0" collapsed="false">
      <c r="A222" s="49" t="str">
        <f aca="false">IF(B222="","","PC-"&amp;TEXT(ROW()-2,"000"))</f>
        <v/>
      </c>
      <c r="B222" s="50"/>
      <c r="C222" s="50"/>
      <c r="D222" s="51"/>
      <c r="E222" s="51"/>
      <c r="F222" s="51"/>
      <c r="G222" s="50"/>
      <c r="H222" s="50"/>
      <c r="I222" s="50"/>
      <c r="J222" s="51"/>
      <c r="K222" s="50"/>
      <c r="L222" s="50"/>
      <c r="M222" s="50"/>
      <c r="N222" s="50"/>
      <c r="O222" s="52"/>
      <c r="P222" s="50"/>
      <c r="Q222" s="52"/>
      <c r="R222" s="52"/>
      <c r="S222" s="49" t="str">
        <f aca="false">IF(B222="","",IF(OR(O222="",R222=""),"—",IF(O222&lt;=R222,"⚠ RÉAPPRO","OK")))</f>
        <v/>
      </c>
      <c r="T222" s="50"/>
      <c r="U222" s="50"/>
      <c r="V222" s="50"/>
      <c r="W222" s="50"/>
      <c r="X222" s="50"/>
      <c r="Y222" s="53" t="str">
        <f aca="false">IF(B222="","",IF(X222="","—",IF(X222="Non classé","Non classé",IFERROR(INDEX(RefH_Classe,MATCH(TRIM(LEFT(X222,FIND(",",X222&amp;",")-1)),RefH_Code,0)),"Code H inconnu"))))</f>
        <v/>
      </c>
      <c r="Z222" s="50"/>
      <c r="AA222" s="50"/>
      <c r="AB222" s="51"/>
      <c r="AC222" s="51"/>
      <c r="AD222" s="51"/>
      <c r="AE222" s="51"/>
      <c r="AF222" s="50"/>
      <c r="AG222" s="51"/>
      <c r="AH222" s="54"/>
      <c r="AI222" s="51"/>
      <c r="AJ222" s="55" t="str">
        <f aca="false">IF(AH222="","",EDATE(AH222,60))</f>
        <v/>
      </c>
      <c r="AK222" s="49" t="str">
        <f aca="true">IF(B222="","",IF(OR(AG222="Non",AH222=""),"FDS ABSENTE",IF(TODAY()&gt;=EDATE(AH222,60),"EXPIRÉE",IF(TODAY()&gt;=EDATE(AH222,54),"À RENOUVELER","CONFORME"))))</f>
        <v/>
      </c>
      <c r="AL222" s="50"/>
      <c r="AM222" s="54"/>
      <c r="AN222" s="54"/>
      <c r="AO222" s="50"/>
      <c r="AP222" s="50"/>
      <c r="AQ222" s="50"/>
      <c r="AR222" s="50"/>
      <c r="AS222" s="50"/>
      <c r="AT222" s="50"/>
      <c r="AU222" s="50"/>
      <c r="AV222" s="50"/>
      <c r="AW222" s="52"/>
      <c r="AX222" s="52"/>
      <c r="AY222" s="56" t="str">
        <f aca="false">IF(OR(AW222="",AX222=""),"",AW222*AX222)</f>
        <v/>
      </c>
      <c r="AZ222" s="52"/>
      <c r="BA222" s="56" t="str">
        <f aca="false">IF(AY222="","",IF(AZ222="",AY222,ROUNDUP(AY222/AZ222,0)))</f>
        <v/>
      </c>
      <c r="BB222" s="49" t="str">
        <f aca="false">IF(BA222="","",IF(BA222&gt;=15,"P1 – Critique",IF(BA222&gt;=8,"P2 – Élevée",IF(BA222&gt;=4,"P3 – Modérée","P4 – Faible"))))</f>
        <v/>
      </c>
      <c r="BC222" s="50"/>
      <c r="BD222" s="50"/>
      <c r="BE222" s="54"/>
      <c r="BF222" s="57"/>
      <c r="BG222" s="50"/>
      <c r="BH222" s="54"/>
      <c r="BI222" s="54"/>
      <c r="BJ222" s="50"/>
      <c r="BK222" s="50"/>
    </row>
    <row r="223" customFormat="false" ht="15" hidden="false" customHeight="false" outlineLevel="0" collapsed="false">
      <c r="A223" s="49" t="str">
        <f aca="false">IF(B223="","","PC-"&amp;TEXT(ROW()-2,"000"))</f>
        <v/>
      </c>
      <c r="B223" s="50"/>
      <c r="C223" s="50"/>
      <c r="D223" s="51"/>
      <c r="E223" s="51"/>
      <c r="F223" s="51"/>
      <c r="G223" s="50"/>
      <c r="H223" s="50"/>
      <c r="I223" s="50"/>
      <c r="J223" s="51"/>
      <c r="K223" s="50"/>
      <c r="L223" s="50"/>
      <c r="M223" s="50"/>
      <c r="N223" s="50"/>
      <c r="O223" s="52"/>
      <c r="P223" s="50"/>
      <c r="Q223" s="52"/>
      <c r="R223" s="52"/>
      <c r="S223" s="49" t="str">
        <f aca="false">IF(B223="","",IF(OR(O223="",R223=""),"—",IF(O223&lt;=R223,"⚠ RÉAPPRO","OK")))</f>
        <v/>
      </c>
      <c r="T223" s="50"/>
      <c r="U223" s="50"/>
      <c r="V223" s="50"/>
      <c r="W223" s="50"/>
      <c r="X223" s="50"/>
      <c r="Y223" s="53" t="str">
        <f aca="false">IF(B223="","",IF(X223="","—",IF(X223="Non classé","Non classé",IFERROR(INDEX(RefH_Classe,MATCH(TRIM(LEFT(X223,FIND(",",X223&amp;",")-1)),RefH_Code,0)),"Code H inconnu"))))</f>
        <v/>
      </c>
      <c r="Z223" s="50"/>
      <c r="AA223" s="50"/>
      <c r="AB223" s="51"/>
      <c r="AC223" s="51"/>
      <c r="AD223" s="51"/>
      <c r="AE223" s="51"/>
      <c r="AF223" s="50"/>
      <c r="AG223" s="51"/>
      <c r="AH223" s="54"/>
      <c r="AI223" s="51"/>
      <c r="AJ223" s="55" t="str">
        <f aca="false">IF(AH223="","",EDATE(AH223,60))</f>
        <v/>
      </c>
      <c r="AK223" s="49" t="str">
        <f aca="true">IF(B223="","",IF(OR(AG223="Non",AH223=""),"FDS ABSENTE",IF(TODAY()&gt;=EDATE(AH223,60),"EXPIRÉE",IF(TODAY()&gt;=EDATE(AH223,54),"À RENOUVELER","CONFORME"))))</f>
        <v/>
      </c>
      <c r="AL223" s="50"/>
      <c r="AM223" s="54"/>
      <c r="AN223" s="54"/>
      <c r="AO223" s="50"/>
      <c r="AP223" s="50"/>
      <c r="AQ223" s="50"/>
      <c r="AR223" s="50"/>
      <c r="AS223" s="50"/>
      <c r="AT223" s="50"/>
      <c r="AU223" s="50"/>
      <c r="AV223" s="50"/>
      <c r="AW223" s="52"/>
      <c r="AX223" s="52"/>
      <c r="AY223" s="56" t="str">
        <f aca="false">IF(OR(AW223="",AX223=""),"",AW223*AX223)</f>
        <v/>
      </c>
      <c r="AZ223" s="52"/>
      <c r="BA223" s="56" t="str">
        <f aca="false">IF(AY223="","",IF(AZ223="",AY223,ROUNDUP(AY223/AZ223,0)))</f>
        <v/>
      </c>
      <c r="BB223" s="49" t="str">
        <f aca="false">IF(BA223="","",IF(BA223&gt;=15,"P1 – Critique",IF(BA223&gt;=8,"P2 – Élevée",IF(BA223&gt;=4,"P3 – Modérée","P4 – Faible"))))</f>
        <v/>
      </c>
      <c r="BC223" s="50"/>
      <c r="BD223" s="50"/>
      <c r="BE223" s="54"/>
      <c r="BF223" s="57"/>
      <c r="BG223" s="50"/>
      <c r="BH223" s="54"/>
      <c r="BI223" s="54"/>
      <c r="BJ223" s="50"/>
      <c r="BK223" s="50"/>
    </row>
    <row r="224" customFormat="false" ht="15" hidden="false" customHeight="false" outlineLevel="0" collapsed="false">
      <c r="A224" s="49" t="str">
        <f aca="false">IF(B224="","","PC-"&amp;TEXT(ROW()-2,"000"))</f>
        <v/>
      </c>
      <c r="B224" s="50"/>
      <c r="C224" s="50"/>
      <c r="D224" s="51"/>
      <c r="E224" s="51"/>
      <c r="F224" s="51"/>
      <c r="G224" s="50"/>
      <c r="H224" s="50"/>
      <c r="I224" s="50"/>
      <c r="J224" s="51"/>
      <c r="K224" s="50"/>
      <c r="L224" s="50"/>
      <c r="M224" s="50"/>
      <c r="N224" s="50"/>
      <c r="O224" s="52"/>
      <c r="P224" s="50"/>
      <c r="Q224" s="52"/>
      <c r="R224" s="52"/>
      <c r="S224" s="49" t="str">
        <f aca="false">IF(B224="","",IF(OR(O224="",R224=""),"—",IF(O224&lt;=R224,"⚠ RÉAPPRO","OK")))</f>
        <v/>
      </c>
      <c r="T224" s="50"/>
      <c r="U224" s="50"/>
      <c r="V224" s="50"/>
      <c r="W224" s="50"/>
      <c r="X224" s="50"/>
      <c r="Y224" s="53" t="str">
        <f aca="false">IF(B224="","",IF(X224="","—",IF(X224="Non classé","Non classé",IFERROR(INDEX(RefH_Classe,MATCH(TRIM(LEFT(X224,FIND(",",X224&amp;",")-1)),RefH_Code,0)),"Code H inconnu"))))</f>
        <v/>
      </c>
      <c r="Z224" s="50"/>
      <c r="AA224" s="50"/>
      <c r="AB224" s="51"/>
      <c r="AC224" s="51"/>
      <c r="AD224" s="51"/>
      <c r="AE224" s="51"/>
      <c r="AF224" s="50"/>
      <c r="AG224" s="51"/>
      <c r="AH224" s="54"/>
      <c r="AI224" s="51"/>
      <c r="AJ224" s="55" t="str">
        <f aca="false">IF(AH224="","",EDATE(AH224,60))</f>
        <v/>
      </c>
      <c r="AK224" s="49" t="str">
        <f aca="true">IF(B224="","",IF(OR(AG224="Non",AH224=""),"FDS ABSENTE",IF(TODAY()&gt;=EDATE(AH224,60),"EXPIRÉE",IF(TODAY()&gt;=EDATE(AH224,54),"À RENOUVELER","CONFORME"))))</f>
        <v/>
      </c>
      <c r="AL224" s="50"/>
      <c r="AM224" s="54"/>
      <c r="AN224" s="54"/>
      <c r="AO224" s="50"/>
      <c r="AP224" s="50"/>
      <c r="AQ224" s="50"/>
      <c r="AR224" s="50"/>
      <c r="AS224" s="50"/>
      <c r="AT224" s="50"/>
      <c r="AU224" s="50"/>
      <c r="AV224" s="50"/>
      <c r="AW224" s="52"/>
      <c r="AX224" s="52"/>
      <c r="AY224" s="56" t="str">
        <f aca="false">IF(OR(AW224="",AX224=""),"",AW224*AX224)</f>
        <v/>
      </c>
      <c r="AZ224" s="52"/>
      <c r="BA224" s="56" t="str">
        <f aca="false">IF(AY224="","",IF(AZ224="",AY224,ROUNDUP(AY224/AZ224,0)))</f>
        <v/>
      </c>
      <c r="BB224" s="49" t="str">
        <f aca="false">IF(BA224="","",IF(BA224&gt;=15,"P1 – Critique",IF(BA224&gt;=8,"P2 – Élevée",IF(BA224&gt;=4,"P3 – Modérée","P4 – Faible"))))</f>
        <v/>
      </c>
      <c r="BC224" s="50"/>
      <c r="BD224" s="50"/>
      <c r="BE224" s="54"/>
      <c r="BF224" s="57"/>
      <c r="BG224" s="50"/>
      <c r="BH224" s="54"/>
      <c r="BI224" s="54"/>
      <c r="BJ224" s="50"/>
      <c r="BK224" s="50"/>
    </row>
    <row r="225" customFormat="false" ht="15" hidden="false" customHeight="false" outlineLevel="0" collapsed="false">
      <c r="A225" s="49" t="str">
        <f aca="false">IF(B225="","","PC-"&amp;TEXT(ROW()-2,"000"))</f>
        <v/>
      </c>
      <c r="B225" s="50"/>
      <c r="C225" s="50"/>
      <c r="D225" s="51"/>
      <c r="E225" s="51"/>
      <c r="F225" s="51"/>
      <c r="G225" s="50"/>
      <c r="H225" s="50"/>
      <c r="I225" s="50"/>
      <c r="J225" s="51"/>
      <c r="K225" s="50"/>
      <c r="L225" s="50"/>
      <c r="M225" s="50"/>
      <c r="N225" s="50"/>
      <c r="O225" s="52"/>
      <c r="P225" s="50"/>
      <c r="Q225" s="52"/>
      <c r="R225" s="52"/>
      <c r="S225" s="49" t="str">
        <f aca="false">IF(B225="","",IF(OR(O225="",R225=""),"—",IF(O225&lt;=R225,"⚠ RÉAPPRO","OK")))</f>
        <v/>
      </c>
      <c r="T225" s="50"/>
      <c r="U225" s="50"/>
      <c r="V225" s="50"/>
      <c r="W225" s="50"/>
      <c r="X225" s="50"/>
      <c r="Y225" s="53" t="str">
        <f aca="false">IF(B225="","",IF(X225="","—",IF(X225="Non classé","Non classé",IFERROR(INDEX(RefH_Classe,MATCH(TRIM(LEFT(X225,FIND(",",X225&amp;",")-1)),RefH_Code,0)),"Code H inconnu"))))</f>
        <v/>
      </c>
      <c r="Z225" s="50"/>
      <c r="AA225" s="50"/>
      <c r="AB225" s="51"/>
      <c r="AC225" s="51"/>
      <c r="AD225" s="51"/>
      <c r="AE225" s="51"/>
      <c r="AF225" s="50"/>
      <c r="AG225" s="51"/>
      <c r="AH225" s="54"/>
      <c r="AI225" s="51"/>
      <c r="AJ225" s="55" t="str">
        <f aca="false">IF(AH225="","",EDATE(AH225,60))</f>
        <v/>
      </c>
      <c r="AK225" s="49" t="str">
        <f aca="true">IF(B225="","",IF(OR(AG225="Non",AH225=""),"FDS ABSENTE",IF(TODAY()&gt;=EDATE(AH225,60),"EXPIRÉE",IF(TODAY()&gt;=EDATE(AH225,54),"À RENOUVELER","CONFORME"))))</f>
        <v/>
      </c>
      <c r="AL225" s="50"/>
      <c r="AM225" s="54"/>
      <c r="AN225" s="54"/>
      <c r="AO225" s="50"/>
      <c r="AP225" s="50"/>
      <c r="AQ225" s="50"/>
      <c r="AR225" s="50"/>
      <c r="AS225" s="50"/>
      <c r="AT225" s="50"/>
      <c r="AU225" s="50"/>
      <c r="AV225" s="50"/>
      <c r="AW225" s="52"/>
      <c r="AX225" s="52"/>
      <c r="AY225" s="56" t="str">
        <f aca="false">IF(OR(AW225="",AX225=""),"",AW225*AX225)</f>
        <v/>
      </c>
      <c r="AZ225" s="52"/>
      <c r="BA225" s="56" t="str">
        <f aca="false">IF(AY225="","",IF(AZ225="",AY225,ROUNDUP(AY225/AZ225,0)))</f>
        <v/>
      </c>
      <c r="BB225" s="49" t="str">
        <f aca="false">IF(BA225="","",IF(BA225&gt;=15,"P1 – Critique",IF(BA225&gt;=8,"P2 – Élevée",IF(BA225&gt;=4,"P3 – Modérée","P4 – Faible"))))</f>
        <v/>
      </c>
      <c r="BC225" s="50"/>
      <c r="BD225" s="50"/>
      <c r="BE225" s="54"/>
      <c r="BF225" s="57"/>
      <c r="BG225" s="50"/>
      <c r="BH225" s="54"/>
      <c r="BI225" s="54"/>
      <c r="BJ225" s="50"/>
      <c r="BK225" s="50"/>
    </row>
    <row r="226" customFormat="false" ht="15" hidden="false" customHeight="false" outlineLevel="0" collapsed="false">
      <c r="A226" s="49" t="str">
        <f aca="false">IF(B226="","","PC-"&amp;TEXT(ROW()-2,"000"))</f>
        <v/>
      </c>
      <c r="B226" s="50"/>
      <c r="C226" s="50"/>
      <c r="D226" s="51"/>
      <c r="E226" s="51"/>
      <c r="F226" s="51"/>
      <c r="G226" s="50"/>
      <c r="H226" s="50"/>
      <c r="I226" s="50"/>
      <c r="J226" s="51"/>
      <c r="K226" s="50"/>
      <c r="L226" s="50"/>
      <c r="M226" s="50"/>
      <c r="N226" s="50"/>
      <c r="O226" s="52"/>
      <c r="P226" s="50"/>
      <c r="Q226" s="52"/>
      <c r="R226" s="52"/>
      <c r="S226" s="49" t="str">
        <f aca="false">IF(B226="","",IF(OR(O226="",R226=""),"—",IF(O226&lt;=R226,"⚠ RÉAPPRO","OK")))</f>
        <v/>
      </c>
      <c r="T226" s="50"/>
      <c r="U226" s="50"/>
      <c r="V226" s="50"/>
      <c r="W226" s="50"/>
      <c r="X226" s="50"/>
      <c r="Y226" s="53" t="str">
        <f aca="false">IF(B226="","",IF(X226="","—",IF(X226="Non classé","Non classé",IFERROR(INDEX(RefH_Classe,MATCH(TRIM(LEFT(X226,FIND(",",X226&amp;",")-1)),RefH_Code,0)),"Code H inconnu"))))</f>
        <v/>
      </c>
      <c r="Z226" s="50"/>
      <c r="AA226" s="50"/>
      <c r="AB226" s="51"/>
      <c r="AC226" s="51"/>
      <c r="AD226" s="51"/>
      <c r="AE226" s="51"/>
      <c r="AF226" s="50"/>
      <c r="AG226" s="51"/>
      <c r="AH226" s="54"/>
      <c r="AI226" s="51"/>
      <c r="AJ226" s="55" t="str">
        <f aca="false">IF(AH226="","",EDATE(AH226,60))</f>
        <v/>
      </c>
      <c r="AK226" s="49" t="str">
        <f aca="true">IF(B226="","",IF(OR(AG226="Non",AH226=""),"FDS ABSENTE",IF(TODAY()&gt;=EDATE(AH226,60),"EXPIRÉE",IF(TODAY()&gt;=EDATE(AH226,54),"À RENOUVELER","CONFORME"))))</f>
        <v/>
      </c>
      <c r="AL226" s="50"/>
      <c r="AM226" s="54"/>
      <c r="AN226" s="54"/>
      <c r="AO226" s="50"/>
      <c r="AP226" s="50"/>
      <c r="AQ226" s="50"/>
      <c r="AR226" s="50"/>
      <c r="AS226" s="50"/>
      <c r="AT226" s="50"/>
      <c r="AU226" s="50"/>
      <c r="AV226" s="50"/>
      <c r="AW226" s="52"/>
      <c r="AX226" s="52"/>
      <c r="AY226" s="56" t="str">
        <f aca="false">IF(OR(AW226="",AX226=""),"",AW226*AX226)</f>
        <v/>
      </c>
      <c r="AZ226" s="52"/>
      <c r="BA226" s="56" t="str">
        <f aca="false">IF(AY226="","",IF(AZ226="",AY226,ROUNDUP(AY226/AZ226,0)))</f>
        <v/>
      </c>
      <c r="BB226" s="49" t="str">
        <f aca="false">IF(BA226="","",IF(BA226&gt;=15,"P1 – Critique",IF(BA226&gt;=8,"P2 – Élevée",IF(BA226&gt;=4,"P3 – Modérée","P4 – Faible"))))</f>
        <v/>
      </c>
      <c r="BC226" s="50"/>
      <c r="BD226" s="50"/>
      <c r="BE226" s="54"/>
      <c r="BF226" s="57"/>
      <c r="BG226" s="50"/>
      <c r="BH226" s="54"/>
      <c r="BI226" s="54"/>
      <c r="BJ226" s="50"/>
      <c r="BK226" s="50"/>
    </row>
    <row r="227" customFormat="false" ht="15" hidden="false" customHeight="false" outlineLevel="0" collapsed="false">
      <c r="A227" s="49" t="str">
        <f aca="false">IF(B227="","","PC-"&amp;TEXT(ROW()-2,"000"))</f>
        <v/>
      </c>
      <c r="B227" s="50"/>
      <c r="C227" s="50"/>
      <c r="D227" s="51"/>
      <c r="E227" s="51"/>
      <c r="F227" s="51"/>
      <c r="G227" s="50"/>
      <c r="H227" s="50"/>
      <c r="I227" s="50"/>
      <c r="J227" s="51"/>
      <c r="K227" s="50"/>
      <c r="L227" s="50"/>
      <c r="M227" s="50"/>
      <c r="N227" s="50"/>
      <c r="O227" s="52"/>
      <c r="P227" s="50"/>
      <c r="Q227" s="52"/>
      <c r="R227" s="52"/>
      <c r="S227" s="49" t="str">
        <f aca="false">IF(B227="","",IF(OR(O227="",R227=""),"—",IF(O227&lt;=R227,"⚠ RÉAPPRO","OK")))</f>
        <v/>
      </c>
      <c r="T227" s="50"/>
      <c r="U227" s="50"/>
      <c r="V227" s="50"/>
      <c r="W227" s="50"/>
      <c r="X227" s="50"/>
      <c r="Y227" s="53" t="str">
        <f aca="false">IF(B227="","",IF(X227="","—",IF(X227="Non classé","Non classé",IFERROR(INDEX(RefH_Classe,MATCH(TRIM(LEFT(X227,FIND(",",X227&amp;",")-1)),RefH_Code,0)),"Code H inconnu"))))</f>
        <v/>
      </c>
      <c r="Z227" s="50"/>
      <c r="AA227" s="50"/>
      <c r="AB227" s="51"/>
      <c r="AC227" s="51"/>
      <c r="AD227" s="51"/>
      <c r="AE227" s="51"/>
      <c r="AF227" s="50"/>
      <c r="AG227" s="51"/>
      <c r="AH227" s="54"/>
      <c r="AI227" s="51"/>
      <c r="AJ227" s="55" t="str">
        <f aca="false">IF(AH227="","",EDATE(AH227,60))</f>
        <v/>
      </c>
      <c r="AK227" s="49" t="str">
        <f aca="true">IF(B227="","",IF(OR(AG227="Non",AH227=""),"FDS ABSENTE",IF(TODAY()&gt;=EDATE(AH227,60),"EXPIRÉE",IF(TODAY()&gt;=EDATE(AH227,54),"À RENOUVELER","CONFORME"))))</f>
        <v/>
      </c>
      <c r="AL227" s="50"/>
      <c r="AM227" s="54"/>
      <c r="AN227" s="54"/>
      <c r="AO227" s="50"/>
      <c r="AP227" s="50"/>
      <c r="AQ227" s="50"/>
      <c r="AR227" s="50"/>
      <c r="AS227" s="50"/>
      <c r="AT227" s="50"/>
      <c r="AU227" s="50"/>
      <c r="AV227" s="50"/>
      <c r="AW227" s="52"/>
      <c r="AX227" s="52"/>
      <c r="AY227" s="56" t="str">
        <f aca="false">IF(OR(AW227="",AX227=""),"",AW227*AX227)</f>
        <v/>
      </c>
      <c r="AZ227" s="52"/>
      <c r="BA227" s="56" t="str">
        <f aca="false">IF(AY227="","",IF(AZ227="",AY227,ROUNDUP(AY227/AZ227,0)))</f>
        <v/>
      </c>
      <c r="BB227" s="49" t="str">
        <f aca="false">IF(BA227="","",IF(BA227&gt;=15,"P1 – Critique",IF(BA227&gt;=8,"P2 – Élevée",IF(BA227&gt;=4,"P3 – Modérée","P4 – Faible"))))</f>
        <v/>
      </c>
      <c r="BC227" s="50"/>
      <c r="BD227" s="50"/>
      <c r="BE227" s="54"/>
      <c r="BF227" s="57"/>
      <c r="BG227" s="50"/>
      <c r="BH227" s="54"/>
      <c r="BI227" s="54"/>
      <c r="BJ227" s="50"/>
      <c r="BK227" s="50"/>
    </row>
    <row r="228" customFormat="false" ht="15" hidden="false" customHeight="false" outlineLevel="0" collapsed="false">
      <c r="A228" s="49" t="str">
        <f aca="false">IF(B228="","","PC-"&amp;TEXT(ROW()-2,"000"))</f>
        <v/>
      </c>
      <c r="B228" s="50"/>
      <c r="C228" s="50"/>
      <c r="D228" s="51"/>
      <c r="E228" s="51"/>
      <c r="F228" s="51"/>
      <c r="G228" s="50"/>
      <c r="H228" s="50"/>
      <c r="I228" s="50"/>
      <c r="J228" s="51"/>
      <c r="K228" s="50"/>
      <c r="L228" s="50"/>
      <c r="M228" s="50"/>
      <c r="N228" s="50"/>
      <c r="O228" s="52"/>
      <c r="P228" s="50"/>
      <c r="Q228" s="52"/>
      <c r="R228" s="52"/>
      <c r="S228" s="49" t="str">
        <f aca="false">IF(B228="","",IF(OR(O228="",R228=""),"—",IF(O228&lt;=R228,"⚠ RÉAPPRO","OK")))</f>
        <v/>
      </c>
      <c r="T228" s="50"/>
      <c r="U228" s="50"/>
      <c r="V228" s="50"/>
      <c r="W228" s="50"/>
      <c r="X228" s="50"/>
      <c r="Y228" s="53" t="str">
        <f aca="false">IF(B228="","",IF(X228="","—",IF(X228="Non classé","Non classé",IFERROR(INDEX(RefH_Classe,MATCH(TRIM(LEFT(X228,FIND(",",X228&amp;",")-1)),RefH_Code,0)),"Code H inconnu"))))</f>
        <v/>
      </c>
      <c r="Z228" s="50"/>
      <c r="AA228" s="50"/>
      <c r="AB228" s="51"/>
      <c r="AC228" s="51"/>
      <c r="AD228" s="51"/>
      <c r="AE228" s="51"/>
      <c r="AF228" s="50"/>
      <c r="AG228" s="51"/>
      <c r="AH228" s="54"/>
      <c r="AI228" s="51"/>
      <c r="AJ228" s="55" t="str">
        <f aca="false">IF(AH228="","",EDATE(AH228,60))</f>
        <v/>
      </c>
      <c r="AK228" s="49" t="str">
        <f aca="true">IF(B228="","",IF(OR(AG228="Non",AH228=""),"FDS ABSENTE",IF(TODAY()&gt;=EDATE(AH228,60),"EXPIRÉE",IF(TODAY()&gt;=EDATE(AH228,54),"À RENOUVELER","CONFORME"))))</f>
        <v/>
      </c>
      <c r="AL228" s="50"/>
      <c r="AM228" s="54"/>
      <c r="AN228" s="54"/>
      <c r="AO228" s="50"/>
      <c r="AP228" s="50"/>
      <c r="AQ228" s="50"/>
      <c r="AR228" s="50"/>
      <c r="AS228" s="50"/>
      <c r="AT228" s="50"/>
      <c r="AU228" s="50"/>
      <c r="AV228" s="50"/>
      <c r="AW228" s="52"/>
      <c r="AX228" s="52"/>
      <c r="AY228" s="56" t="str">
        <f aca="false">IF(OR(AW228="",AX228=""),"",AW228*AX228)</f>
        <v/>
      </c>
      <c r="AZ228" s="52"/>
      <c r="BA228" s="56" t="str">
        <f aca="false">IF(AY228="","",IF(AZ228="",AY228,ROUNDUP(AY228/AZ228,0)))</f>
        <v/>
      </c>
      <c r="BB228" s="49" t="str">
        <f aca="false">IF(BA228="","",IF(BA228&gt;=15,"P1 – Critique",IF(BA228&gt;=8,"P2 – Élevée",IF(BA228&gt;=4,"P3 – Modérée","P4 – Faible"))))</f>
        <v/>
      </c>
      <c r="BC228" s="50"/>
      <c r="BD228" s="50"/>
      <c r="BE228" s="54"/>
      <c r="BF228" s="57"/>
      <c r="BG228" s="50"/>
      <c r="BH228" s="54"/>
      <c r="BI228" s="54"/>
      <c r="BJ228" s="50"/>
      <c r="BK228" s="50"/>
    </row>
    <row r="229" customFormat="false" ht="15" hidden="false" customHeight="false" outlineLevel="0" collapsed="false">
      <c r="A229" s="49" t="str">
        <f aca="false">IF(B229="","","PC-"&amp;TEXT(ROW()-2,"000"))</f>
        <v/>
      </c>
      <c r="B229" s="50"/>
      <c r="C229" s="50"/>
      <c r="D229" s="51"/>
      <c r="E229" s="51"/>
      <c r="F229" s="51"/>
      <c r="G229" s="50"/>
      <c r="H229" s="50"/>
      <c r="I229" s="50"/>
      <c r="J229" s="51"/>
      <c r="K229" s="50"/>
      <c r="L229" s="50"/>
      <c r="M229" s="50"/>
      <c r="N229" s="50"/>
      <c r="O229" s="52"/>
      <c r="P229" s="50"/>
      <c r="Q229" s="52"/>
      <c r="R229" s="52"/>
      <c r="S229" s="49" t="str">
        <f aca="false">IF(B229="","",IF(OR(O229="",R229=""),"—",IF(O229&lt;=R229,"⚠ RÉAPPRO","OK")))</f>
        <v/>
      </c>
      <c r="T229" s="50"/>
      <c r="U229" s="50"/>
      <c r="V229" s="50"/>
      <c r="W229" s="50"/>
      <c r="X229" s="50"/>
      <c r="Y229" s="53" t="str">
        <f aca="false">IF(B229="","",IF(X229="","—",IF(X229="Non classé","Non classé",IFERROR(INDEX(RefH_Classe,MATCH(TRIM(LEFT(X229,FIND(",",X229&amp;",")-1)),RefH_Code,0)),"Code H inconnu"))))</f>
        <v/>
      </c>
      <c r="Z229" s="50"/>
      <c r="AA229" s="50"/>
      <c r="AB229" s="51"/>
      <c r="AC229" s="51"/>
      <c r="AD229" s="51"/>
      <c r="AE229" s="51"/>
      <c r="AF229" s="50"/>
      <c r="AG229" s="51"/>
      <c r="AH229" s="54"/>
      <c r="AI229" s="51"/>
      <c r="AJ229" s="55" t="str">
        <f aca="false">IF(AH229="","",EDATE(AH229,60))</f>
        <v/>
      </c>
      <c r="AK229" s="49" t="str">
        <f aca="true">IF(B229="","",IF(OR(AG229="Non",AH229=""),"FDS ABSENTE",IF(TODAY()&gt;=EDATE(AH229,60),"EXPIRÉE",IF(TODAY()&gt;=EDATE(AH229,54),"À RENOUVELER","CONFORME"))))</f>
        <v/>
      </c>
      <c r="AL229" s="50"/>
      <c r="AM229" s="54"/>
      <c r="AN229" s="54"/>
      <c r="AO229" s="50"/>
      <c r="AP229" s="50"/>
      <c r="AQ229" s="50"/>
      <c r="AR229" s="50"/>
      <c r="AS229" s="50"/>
      <c r="AT229" s="50"/>
      <c r="AU229" s="50"/>
      <c r="AV229" s="50"/>
      <c r="AW229" s="52"/>
      <c r="AX229" s="52"/>
      <c r="AY229" s="56" t="str">
        <f aca="false">IF(OR(AW229="",AX229=""),"",AW229*AX229)</f>
        <v/>
      </c>
      <c r="AZ229" s="52"/>
      <c r="BA229" s="56" t="str">
        <f aca="false">IF(AY229="","",IF(AZ229="",AY229,ROUNDUP(AY229/AZ229,0)))</f>
        <v/>
      </c>
      <c r="BB229" s="49" t="str">
        <f aca="false">IF(BA229="","",IF(BA229&gt;=15,"P1 – Critique",IF(BA229&gt;=8,"P2 – Élevée",IF(BA229&gt;=4,"P3 – Modérée","P4 – Faible"))))</f>
        <v/>
      </c>
      <c r="BC229" s="50"/>
      <c r="BD229" s="50"/>
      <c r="BE229" s="54"/>
      <c r="BF229" s="57"/>
      <c r="BG229" s="50"/>
      <c r="BH229" s="54"/>
      <c r="BI229" s="54"/>
      <c r="BJ229" s="50"/>
      <c r="BK229" s="50"/>
    </row>
    <row r="230" customFormat="false" ht="15" hidden="false" customHeight="false" outlineLevel="0" collapsed="false">
      <c r="A230" s="49" t="str">
        <f aca="false">IF(B230="","","PC-"&amp;TEXT(ROW()-2,"000"))</f>
        <v/>
      </c>
      <c r="B230" s="50"/>
      <c r="C230" s="50"/>
      <c r="D230" s="51"/>
      <c r="E230" s="51"/>
      <c r="F230" s="51"/>
      <c r="G230" s="50"/>
      <c r="H230" s="50"/>
      <c r="I230" s="50"/>
      <c r="J230" s="51"/>
      <c r="K230" s="50"/>
      <c r="L230" s="50"/>
      <c r="M230" s="50"/>
      <c r="N230" s="50"/>
      <c r="O230" s="52"/>
      <c r="P230" s="50"/>
      <c r="Q230" s="52"/>
      <c r="R230" s="52"/>
      <c r="S230" s="49" t="str">
        <f aca="false">IF(B230="","",IF(OR(O230="",R230=""),"—",IF(O230&lt;=R230,"⚠ RÉAPPRO","OK")))</f>
        <v/>
      </c>
      <c r="T230" s="50"/>
      <c r="U230" s="50"/>
      <c r="V230" s="50"/>
      <c r="W230" s="50"/>
      <c r="X230" s="50"/>
      <c r="Y230" s="53" t="str">
        <f aca="false">IF(B230="","",IF(X230="","—",IF(X230="Non classé","Non classé",IFERROR(INDEX(RefH_Classe,MATCH(TRIM(LEFT(X230,FIND(",",X230&amp;",")-1)),RefH_Code,0)),"Code H inconnu"))))</f>
        <v/>
      </c>
      <c r="Z230" s="50"/>
      <c r="AA230" s="50"/>
      <c r="AB230" s="51"/>
      <c r="AC230" s="51"/>
      <c r="AD230" s="51"/>
      <c r="AE230" s="51"/>
      <c r="AF230" s="50"/>
      <c r="AG230" s="51"/>
      <c r="AH230" s="54"/>
      <c r="AI230" s="51"/>
      <c r="AJ230" s="55" t="str">
        <f aca="false">IF(AH230="","",EDATE(AH230,60))</f>
        <v/>
      </c>
      <c r="AK230" s="49" t="str">
        <f aca="true">IF(B230="","",IF(OR(AG230="Non",AH230=""),"FDS ABSENTE",IF(TODAY()&gt;=EDATE(AH230,60),"EXPIRÉE",IF(TODAY()&gt;=EDATE(AH230,54),"À RENOUVELER","CONFORME"))))</f>
        <v/>
      </c>
      <c r="AL230" s="50"/>
      <c r="AM230" s="54"/>
      <c r="AN230" s="54"/>
      <c r="AO230" s="50"/>
      <c r="AP230" s="50"/>
      <c r="AQ230" s="50"/>
      <c r="AR230" s="50"/>
      <c r="AS230" s="50"/>
      <c r="AT230" s="50"/>
      <c r="AU230" s="50"/>
      <c r="AV230" s="50"/>
      <c r="AW230" s="52"/>
      <c r="AX230" s="52"/>
      <c r="AY230" s="56" t="str">
        <f aca="false">IF(OR(AW230="",AX230=""),"",AW230*AX230)</f>
        <v/>
      </c>
      <c r="AZ230" s="52"/>
      <c r="BA230" s="56" t="str">
        <f aca="false">IF(AY230="","",IF(AZ230="",AY230,ROUNDUP(AY230/AZ230,0)))</f>
        <v/>
      </c>
      <c r="BB230" s="49" t="str">
        <f aca="false">IF(BA230="","",IF(BA230&gt;=15,"P1 – Critique",IF(BA230&gt;=8,"P2 – Élevée",IF(BA230&gt;=4,"P3 – Modérée","P4 – Faible"))))</f>
        <v/>
      </c>
      <c r="BC230" s="50"/>
      <c r="BD230" s="50"/>
      <c r="BE230" s="54"/>
      <c r="BF230" s="57"/>
      <c r="BG230" s="50"/>
      <c r="BH230" s="54"/>
      <c r="BI230" s="54"/>
      <c r="BJ230" s="50"/>
      <c r="BK230" s="50"/>
    </row>
    <row r="231" customFormat="false" ht="15" hidden="false" customHeight="false" outlineLevel="0" collapsed="false">
      <c r="A231" s="49" t="str">
        <f aca="false">IF(B231="","","PC-"&amp;TEXT(ROW()-2,"000"))</f>
        <v/>
      </c>
      <c r="B231" s="50"/>
      <c r="C231" s="50"/>
      <c r="D231" s="51"/>
      <c r="E231" s="51"/>
      <c r="F231" s="51"/>
      <c r="G231" s="50"/>
      <c r="H231" s="50"/>
      <c r="I231" s="50"/>
      <c r="J231" s="51"/>
      <c r="K231" s="50"/>
      <c r="L231" s="50"/>
      <c r="M231" s="50"/>
      <c r="N231" s="50"/>
      <c r="O231" s="52"/>
      <c r="P231" s="50"/>
      <c r="Q231" s="52"/>
      <c r="R231" s="52"/>
      <c r="S231" s="49" t="str">
        <f aca="false">IF(B231="","",IF(OR(O231="",R231=""),"—",IF(O231&lt;=R231,"⚠ RÉAPPRO","OK")))</f>
        <v/>
      </c>
      <c r="T231" s="50"/>
      <c r="U231" s="50"/>
      <c r="V231" s="50"/>
      <c r="W231" s="50"/>
      <c r="X231" s="50"/>
      <c r="Y231" s="53" t="str">
        <f aca="false">IF(B231="","",IF(X231="","—",IF(X231="Non classé","Non classé",IFERROR(INDEX(RefH_Classe,MATCH(TRIM(LEFT(X231,FIND(",",X231&amp;",")-1)),RefH_Code,0)),"Code H inconnu"))))</f>
        <v/>
      </c>
      <c r="Z231" s="50"/>
      <c r="AA231" s="50"/>
      <c r="AB231" s="51"/>
      <c r="AC231" s="51"/>
      <c r="AD231" s="51"/>
      <c r="AE231" s="51"/>
      <c r="AF231" s="50"/>
      <c r="AG231" s="51"/>
      <c r="AH231" s="54"/>
      <c r="AI231" s="51"/>
      <c r="AJ231" s="55" t="str">
        <f aca="false">IF(AH231="","",EDATE(AH231,60))</f>
        <v/>
      </c>
      <c r="AK231" s="49" t="str">
        <f aca="true">IF(B231="","",IF(OR(AG231="Non",AH231=""),"FDS ABSENTE",IF(TODAY()&gt;=EDATE(AH231,60),"EXPIRÉE",IF(TODAY()&gt;=EDATE(AH231,54),"À RENOUVELER","CONFORME"))))</f>
        <v/>
      </c>
      <c r="AL231" s="50"/>
      <c r="AM231" s="54"/>
      <c r="AN231" s="54"/>
      <c r="AO231" s="50"/>
      <c r="AP231" s="50"/>
      <c r="AQ231" s="50"/>
      <c r="AR231" s="50"/>
      <c r="AS231" s="50"/>
      <c r="AT231" s="50"/>
      <c r="AU231" s="50"/>
      <c r="AV231" s="50"/>
      <c r="AW231" s="52"/>
      <c r="AX231" s="52"/>
      <c r="AY231" s="56" t="str">
        <f aca="false">IF(OR(AW231="",AX231=""),"",AW231*AX231)</f>
        <v/>
      </c>
      <c r="AZ231" s="52"/>
      <c r="BA231" s="56" t="str">
        <f aca="false">IF(AY231="","",IF(AZ231="",AY231,ROUNDUP(AY231/AZ231,0)))</f>
        <v/>
      </c>
      <c r="BB231" s="49" t="str">
        <f aca="false">IF(BA231="","",IF(BA231&gt;=15,"P1 – Critique",IF(BA231&gt;=8,"P2 – Élevée",IF(BA231&gt;=4,"P3 – Modérée","P4 – Faible"))))</f>
        <v/>
      </c>
      <c r="BC231" s="50"/>
      <c r="BD231" s="50"/>
      <c r="BE231" s="54"/>
      <c r="BF231" s="57"/>
      <c r="BG231" s="50"/>
      <c r="BH231" s="54"/>
      <c r="BI231" s="54"/>
      <c r="BJ231" s="50"/>
      <c r="BK231" s="50"/>
    </row>
    <row r="232" customFormat="false" ht="15" hidden="false" customHeight="false" outlineLevel="0" collapsed="false">
      <c r="A232" s="49" t="str">
        <f aca="false">IF(B232="","","PC-"&amp;TEXT(ROW()-2,"000"))</f>
        <v/>
      </c>
      <c r="B232" s="50"/>
      <c r="C232" s="50"/>
      <c r="D232" s="51"/>
      <c r="E232" s="51"/>
      <c r="F232" s="51"/>
      <c r="G232" s="50"/>
      <c r="H232" s="50"/>
      <c r="I232" s="50"/>
      <c r="J232" s="51"/>
      <c r="K232" s="50"/>
      <c r="L232" s="50"/>
      <c r="M232" s="50"/>
      <c r="N232" s="50"/>
      <c r="O232" s="52"/>
      <c r="P232" s="50"/>
      <c r="Q232" s="52"/>
      <c r="R232" s="52"/>
      <c r="S232" s="49" t="str">
        <f aca="false">IF(B232="","",IF(OR(O232="",R232=""),"—",IF(O232&lt;=R232,"⚠ RÉAPPRO","OK")))</f>
        <v/>
      </c>
      <c r="T232" s="50"/>
      <c r="U232" s="50"/>
      <c r="V232" s="50"/>
      <c r="W232" s="50"/>
      <c r="X232" s="50"/>
      <c r="Y232" s="53" t="str">
        <f aca="false">IF(B232="","",IF(X232="","—",IF(X232="Non classé","Non classé",IFERROR(INDEX(RefH_Classe,MATCH(TRIM(LEFT(X232,FIND(",",X232&amp;",")-1)),RefH_Code,0)),"Code H inconnu"))))</f>
        <v/>
      </c>
      <c r="Z232" s="50"/>
      <c r="AA232" s="50"/>
      <c r="AB232" s="51"/>
      <c r="AC232" s="51"/>
      <c r="AD232" s="51"/>
      <c r="AE232" s="51"/>
      <c r="AF232" s="50"/>
      <c r="AG232" s="51"/>
      <c r="AH232" s="54"/>
      <c r="AI232" s="51"/>
      <c r="AJ232" s="55" t="str">
        <f aca="false">IF(AH232="","",EDATE(AH232,60))</f>
        <v/>
      </c>
      <c r="AK232" s="49" t="str">
        <f aca="true">IF(B232="","",IF(OR(AG232="Non",AH232=""),"FDS ABSENTE",IF(TODAY()&gt;=EDATE(AH232,60),"EXPIRÉE",IF(TODAY()&gt;=EDATE(AH232,54),"À RENOUVELER","CONFORME"))))</f>
        <v/>
      </c>
      <c r="AL232" s="50"/>
      <c r="AM232" s="54"/>
      <c r="AN232" s="54"/>
      <c r="AO232" s="50"/>
      <c r="AP232" s="50"/>
      <c r="AQ232" s="50"/>
      <c r="AR232" s="50"/>
      <c r="AS232" s="50"/>
      <c r="AT232" s="50"/>
      <c r="AU232" s="50"/>
      <c r="AV232" s="50"/>
      <c r="AW232" s="52"/>
      <c r="AX232" s="52"/>
      <c r="AY232" s="56" t="str">
        <f aca="false">IF(OR(AW232="",AX232=""),"",AW232*AX232)</f>
        <v/>
      </c>
      <c r="AZ232" s="52"/>
      <c r="BA232" s="56" t="str">
        <f aca="false">IF(AY232="","",IF(AZ232="",AY232,ROUNDUP(AY232/AZ232,0)))</f>
        <v/>
      </c>
      <c r="BB232" s="49" t="str">
        <f aca="false">IF(BA232="","",IF(BA232&gt;=15,"P1 – Critique",IF(BA232&gt;=8,"P2 – Élevée",IF(BA232&gt;=4,"P3 – Modérée","P4 – Faible"))))</f>
        <v/>
      </c>
      <c r="BC232" s="50"/>
      <c r="BD232" s="50"/>
      <c r="BE232" s="54"/>
      <c r="BF232" s="57"/>
      <c r="BG232" s="50"/>
      <c r="BH232" s="54"/>
      <c r="BI232" s="54"/>
      <c r="BJ232" s="50"/>
      <c r="BK232" s="50"/>
    </row>
    <row r="233" customFormat="false" ht="15" hidden="false" customHeight="false" outlineLevel="0" collapsed="false">
      <c r="A233" s="49" t="str">
        <f aca="false">IF(B233="","","PC-"&amp;TEXT(ROW()-2,"000"))</f>
        <v/>
      </c>
      <c r="B233" s="50"/>
      <c r="C233" s="50"/>
      <c r="D233" s="51"/>
      <c r="E233" s="51"/>
      <c r="F233" s="51"/>
      <c r="G233" s="50"/>
      <c r="H233" s="50"/>
      <c r="I233" s="50"/>
      <c r="J233" s="51"/>
      <c r="K233" s="50"/>
      <c r="L233" s="50"/>
      <c r="M233" s="50"/>
      <c r="N233" s="50"/>
      <c r="O233" s="52"/>
      <c r="P233" s="50"/>
      <c r="Q233" s="52"/>
      <c r="R233" s="52"/>
      <c r="S233" s="49" t="str">
        <f aca="false">IF(B233="","",IF(OR(O233="",R233=""),"—",IF(O233&lt;=R233,"⚠ RÉAPPRO","OK")))</f>
        <v/>
      </c>
      <c r="T233" s="50"/>
      <c r="U233" s="50"/>
      <c r="V233" s="50"/>
      <c r="W233" s="50"/>
      <c r="X233" s="50"/>
      <c r="Y233" s="53" t="str">
        <f aca="false">IF(B233="","",IF(X233="","—",IF(X233="Non classé","Non classé",IFERROR(INDEX(RefH_Classe,MATCH(TRIM(LEFT(X233,FIND(",",X233&amp;",")-1)),RefH_Code,0)),"Code H inconnu"))))</f>
        <v/>
      </c>
      <c r="Z233" s="50"/>
      <c r="AA233" s="50"/>
      <c r="AB233" s="51"/>
      <c r="AC233" s="51"/>
      <c r="AD233" s="51"/>
      <c r="AE233" s="51"/>
      <c r="AF233" s="50"/>
      <c r="AG233" s="51"/>
      <c r="AH233" s="54"/>
      <c r="AI233" s="51"/>
      <c r="AJ233" s="55" t="str">
        <f aca="false">IF(AH233="","",EDATE(AH233,60))</f>
        <v/>
      </c>
      <c r="AK233" s="49" t="str">
        <f aca="true">IF(B233="","",IF(OR(AG233="Non",AH233=""),"FDS ABSENTE",IF(TODAY()&gt;=EDATE(AH233,60),"EXPIRÉE",IF(TODAY()&gt;=EDATE(AH233,54),"À RENOUVELER","CONFORME"))))</f>
        <v/>
      </c>
      <c r="AL233" s="50"/>
      <c r="AM233" s="54"/>
      <c r="AN233" s="54"/>
      <c r="AO233" s="50"/>
      <c r="AP233" s="50"/>
      <c r="AQ233" s="50"/>
      <c r="AR233" s="50"/>
      <c r="AS233" s="50"/>
      <c r="AT233" s="50"/>
      <c r="AU233" s="50"/>
      <c r="AV233" s="50"/>
      <c r="AW233" s="52"/>
      <c r="AX233" s="52"/>
      <c r="AY233" s="56" t="str">
        <f aca="false">IF(OR(AW233="",AX233=""),"",AW233*AX233)</f>
        <v/>
      </c>
      <c r="AZ233" s="52"/>
      <c r="BA233" s="56" t="str">
        <f aca="false">IF(AY233="","",IF(AZ233="",AY233,ROUNDUP(AY233/AZ233,0)))</f>
        <v/>
      </c>
      <c r="BB233" s="49" t="str">
        <f aca="false">IF(BA233="","",IF(BA233&gt;=15,"P1 – Critique",IF(BA233&gt;=8,"P2 – Élevée",IF(BA233&gt;=4,"P3 – Modérée","P4 – Faible"))))</f>
        <v/>
      </c>
      <c r="BC233" s="50"/>
      <c r="BD233" s="50"/>
      <c r="BE233" s="54"/>
      <c r="BF233" s="57"/>
      <c r="BG233" s="50"/>
      <c r="BH233" s="54"/>
      <c r="BI233" s="54"/>
      <c r="BJ233" s="50"/>
      <c r="BK233" s="50"/>
    </row>
    <row r="234" customFormat="false" ht="15" hidden="false" customHeight="false" outlineLevel="0" collapsed="false">
      <c r="A234" s="49" t="str">
        <f aca="false">IF(B234="","","PC-"&amp;TEXT(ROW()-2,"000"))</f>
        <v/>
      </c>
      <c r="B234" s="50"/>
      <c r="C234" s="50"/>
      <c r="D234" s="51"/>
      <c r="E234" s="51"/>
      <c r="F234" s="51"/>
      <c r="G234" s="50"/>
      <c r="H234" s="50"/>
      <c r="I234" s="50"/>
      <c r="J234" s="51"/>
      <c r="K234" s="50"/>
      <c r="L234" s="50"/>
      <c r="M234" s="50"/>
      <c r="N234" s="50"/>
      <c r="O234" s="52"/>
      <c r="P234" s="50"/>
      <c r="Q234" s="52"/>
      <c r="R234" s="52"/>
      <c r="S234" s="49" t="str">
        <f aca="false">IF(B234="","",IF(OR(O234="",R234=""),"—",IF(O234&lt;=R234,"⚠ RÉAPPRO","OK")))</f>
        <v/>
      </c>
      <c r="T234" s="50"/>
      <c r="U234" s="50"/>
      <c r="V234" s="50"/>
      <c r="W234" s="50"/>
      <c r="X234" s="50"/>
      <c r="Y234" s="53" t="str">
        <f aca="false">IF(B234="","",IF(X234="","—",IF(X234="Non classé","Non classé",IFERROR(INDEX(RefH_Classe,MATCH(TRIM(LEFT(X234,FIND(",",X234&amp;",")-1)),RefH_Code,0)),"Code H inconnu"))))</f>
        <v/>
      </c>
      <c r="Z234" s="50"/>
      <c r="AA234" s="50"/>
      <c r="AB234" s="51"/>
      <c r="AC234" s="51"/>
      <c r="AD234" s="51"/>
      <c r="AE234" s="51"/>
      <c r="AF234" s="50"/>
      <c r="AG234" s="51"/>
      <c r="AH234" s="54"/>
      <c r="AI234" s="51"/>
      <c r="AJ234" s="55" t="str">
        <f aca="false">IF(AH234="","",EDATE(AH234,60))</f>
        <v/>
      </c>
      <c r="AK234" s="49" t="str">
        <f aca="true">IF(B234="","",IF(OR(AG234="Non",AH234=""),"FDS ABSENTE",IF(TODAY()&gt;=EDATE(AH234,60),"EXPIRÉE",IF(TODAY()&gt;=EDATE(AH234,54),"À RENOUVELER","CONFORME"))))</f>
        <v/>
      </c>
      <c r="AL234" s="50"/>
      <c r="AM234" s="54"/>
      <c r="AN234" s="54"/>
      <c r="AO234" s="50"/>
      <c r="AP234" s="50"/>
      <c r="AQ234" s="50"/>
      <c r="AR234" s="50"/>
      <c r="AS234" s="50"/>
      <c r="AT234" s="50"/>
      <c r="AU234" s="50"/>
      <c r="AV234" s="50"/>
      <c r="AW234" s="52"/>
      <c r="AX234" s="52"/>
      <c r="AY234" s="56" t="str">
        <f aca="false">IF(OR(AW234="",AX234=""),"",AW234*AX234)</f>
        <v/>
      </c>
      <c r="AZ234" s="52"/>
      <c r="BA234" s="56" t="str">
        <f aca="false">IF(AY234="","",IF(AZ234="",AY234,ROUNDUP(AY234/AZ234,0)))</f>
        <v/>
      </c>
      <c r="BB234" s="49" t="str">
        <f aca="false">IF(BA234="","",IF(BA234&gt;=15,"P1 – Critique",IF(BA234&gt;=8,"P2 – Élevée",IF(BA234&gt;=4,"P3 – Modérée","P4 – Faible"))))</f>
        <v/>
      </c>
      <c r="BC234" s="50"/>
      <c r="BD234" s="50"/>
      <c r="BE234" s="54"/>
      <c r="BF234" s="57"/>
      <c r="BG234" s="50"/>
      <c r="BH234" s="54"/>
      <c r="BI234" s="54"/>
      <c r="BJ234" s="50"/>
      <c r="BK234" s="50"/>
    </row>
    <row r="235" customFormat="false" ht="15" hidden="false" customHeight="false" outlineLevel="0" collapsed="false">
      <c r="A235" s="49" t="str">
        <f aca="false">IF(B235="","","PC-"&amp;TEXT(ROW()-2,"000"))</f>
        <v/>
      </c>
      <c r="B235" s="50"/>
      <c r="C235" s="50"/>
      <c r="D235" s="51"/>
      <c r="E235" s="51"/>
      <c r="F235" s="51"/>
      <c r="G235" s="50"/>
      <c r="H235" s="50"/>
      <c r="I235" s="50"/>
      <c r="J235" s="51"/>
      <c r="K235" s="50"/>
      <c r="L235" s="50"/>
      <c r="M235" s="50"/>
      <c r="N235" s="50"/>
      <c r="O235" s="52"/>
      <c r="P235" s="50"/>
      <c r="Q235" s="52"/>
      <c r="R235" s="52"/>
      <c r="S235" s="49" t="str">
        <f aca="false">IF(B235="","",IF(OR(O235="",R235=""),"—",IF(O235&lt;=R235,"⚠ RÉAPPRO","OK")))</f>
        <v/>
      </c>
      <c r="T235" s="50"/>
      <c r="U235" s="50"/>
      <c r="V235" s="50"/>
      <c r="W235" s="50"/>
      <c r="X235" s="50"/>
      <c r="Y235" s="53" t="str">
        <f aca="false">IF(B235="","",IF(X235="","—",IF(X235="Non classé","Non classé",IFERROR(INDEX(RefH_Classe,MATCH(TRIM(LEFT(X235,FIND(",",X235&amp;",")-1)),RefH_Code,0)),"Code H inconnu"))))</f>
        <v/>
      </c>
      <c r="Z235" s="50"/>
      <c r="AA235" s="50"/>
      <c r="AB235" s="51"/>
      <c r="AC235" s="51"/>
      <c r="AD235" s="51"/>
      <c r="AE235" s="51"/>
      <c r="AF235" s="50"/>
      <c r="AG235" s="51"/>
      <c r="AH235" s="54"/>
      <c r="AI235" s="51"/>
      <c r="AJ235" s="55" t="str">
        <f aca="false">IF(AH235="","",EDATE(AH235,60))</f>
        <v/>
      </c>
      <c r="AK235" s="49" t="str">
        <f aca="true">IF(B235="","",IF(OR(AG235="Non",AH235=""),"FDS ABSENTE",IF(TODAY()&gt;=EDATE(AH235,60),"EXPIRÉE",IF(TODAY()&gt;=EDATE(AH235,54),"À RENOUVELER","CONFORME"))))</f>
        <v/>
      </c>
      <c r="AL235" s="50"/>
      <c r="AM235" s="54"/>
      <c r="AN235" s="54"/>
      <c r="AO235" s="50"/>
      <c r="AP235" s="50"/>
      <c r="AQ235" s="50"/>
      <c r="AR235" s="50"/>
      <c r="AS235" s="50"/>
      <c r="AT235" s="50"/>
      <c r="AU235" s="50"/>
      <c r="AV235" s="50"/>
      <c r="AW235" s="52"/>
      <c r="AX235" s="52"/>
      <c r="AY235" s="56" t="str">
        <f aca="false">IF(OR(AW235="",AX235=""),"",AW235*AX235)</f>
        <v/>
      </c>
      <c r="AZ235" s="52"/>
      <c r="BA235" s="56" t="str">
        <f aca="false">IF(AY235="","",IF(AZ235="",AY235,ROUNDUP(AY235/AZ235,0)))</f>
        <v/>
      </c>
      <c r="BB235" s="49" t="str">
        <f aca="false">IF(BA235="","",IF(BA235&gt;=15,"P1 – Critique",IF(BA235&gt;=8,"P2 – Élevée",IF(BA235&gt;=4,"P3 – Modérée","P4 – Faible"))))</f>
        <v/>
      </c>
      <c r="BC235" s="50"/>
      <c r="BD235" s="50"/>
      <c r="BE235" s="54"/>
      <c r="BF235" s="57"/>
      <c r="BG235" s="50"/>
      <c r="BH235" s="54"/>
      <c r="BI235" s="54"/>
      <c r="BJ235" s="50"/>
      <c r="BK235" s="50"/>
    </row>
    <row r="236" customFormat="false" ht="15" hidden="false" customHeight="false" outlineLevel="0" collapsed="false">
      <c r="A236" s="49" t="str">
        <f aca="false">IF(B236="","","PC-"&amp;TEXT(ROW()-2,"000"))</f>
        <v/>
      </c>
      <c r="B236" s="50"/>
      <c r="C236" s="50"/>
      <c r="D236" s="51"/>
      <c r="E236" s="51"/>
      <c r="F236" s="51"/>
      <c r="G236" s="50"/>
      <c r="H236" s="50"/>
      <c r="I236" s="50"/>
      <c r="J236" s="51"/>
      <c r="K236" s="50"/>
      <c r="L236" s="50"/>
      <c r="M236" s="50"/>
      <c r="N236" s="50"/>
      <c r="O236" s="52"/>
      <c r="P236" s="50"/>
      <c r="Q236" s="52"/>
      <c r="R236" s="52"/>
      <c r="S236" s="49" t="str">
        <f aca="false">IF(B236="","",IF(OR(O236="",R236=""),"—",IF(O236&lt;=R236,"⚠ RÉAPPRO","OK")))</f>
        <v/>
      </c>
      <c r="T236" s="50"/>
      <c r="U236" s="50"/>
      <c r="V236" s="50"/>
      <c r="W236" s="50"/>
      <c r="X236" s="50"/>
      <c r="Y236" s="53" t="str">
        <f aca="false">IF(B236="","",IF(X236="","—",IF(X236="Non classé","Non classé",IFERROR(INDEX(RefH_Classe,MATCH(TRIM(LEFT(X236,FIND(",",X236&amp;",")-1)),RefH_Code,0)),"Code H inconnu"))))</f>
        <v/>
      </c>
      <c r="Z236" s="50"/>
      <c r="AA236" s="50"/>
      <c r="AB236" s="51"/>
      <c r="AC236" s="51"/>
      <c r="AD236" s="51"/>
      <c r="AE236" s="51"/>
      <c r="AF236" s="50"/>
      <c r="AG236" s="51"/>
      <c r="AH236" s="54"/>
      <c r="AI236" s="51"/>
      <c r="AJ236" s="55" t="str">
        <f aca="false">IF(AH236="","",EDATE(AH236,60))</f>
        <v/>
      </c>
      <c r="AK236" s="49" t="str">
        <f aca="true">IF(B236="","",IF(OR(AG236="Non",AH236=""),"FDS ABSENTE",IF(TODAY()&gt;=EDATE(AH236,60),"EXPIRÉE",IF(TODAY()&gt;=EDATE(AH236,54),"À RENOUVELER","CONFORME"))))</f>
        <v/>
      </c>
      <c r="AL236" s="50"/>
      <c r="AM236" s="54"/>
      <c r="AN236" s="54"/>
      <c r="AO236" s="50"/>
      <c r="AP236" s="50"/>
      <c r="AQ236" s="50"/>
      <c r="AR236" s="50"/>
      <c r="AS236" s="50"/>
      <c r="AT236" s="50"/>
      <c r="AU236" s="50"/>
      <c r="AV236" s="50"/>
      <c r="AW236" s="52"/>
      <c r="AX236" s="52"/>
      <c r="AY236" s="56" t="str">
        <f aca="false">IF(OR(AW236="",AX236=""),"",AW236*AX236)</f>
        <v/>
      </c>
      <c r="AZ236" s="52"/>
      <c r="BA236" s="56" t="str">
        <f aca="false">IF(AY236="","",IF(AZ236="",AY236,ROUNDUP(AY236/AZ236,0)))</f>
        <v/>
      </c>
      <c r="BB236" s="49" t="str">
        <f aca="false">IF(BA236="","",IF(BA236&gt;=15,"P1 – Critique",IF(BA236&gt;=8,"P2 – Élevée",IF(BA236&gt;=4,"P3 – Modérée","P4 – Faible"))))</f>
        <v/>
      </c>
      <c r="BC236" s="50"/>
      <c r="BD236" s="50"/>
      <c r="BE236" s="54"/>
      <c r="BF236" s="57"/>
      <c r="BG236" s="50"/>
      <c r="BH236" s="54"/>
      <c r="BI236" s="54"/>
      <c r="BJ236" s="50"/>
      <c r="BK236" s="50"/>
    </row>
    <row r="237" customFormat="false" ht="15" hidden="false" customHeight="false" outlineLevel="0" collapsed="false">
      <c r="A237" s="49" t="str">
        <f aca="false">IF(B237="","","PC-"&amp;TEXT(ROW()-2,"000"))</f>
        <v/>
      </c>
      <c r="B237" s="50"/>
      <c r="C237" s="50"/>
      <c r="D237" s="51"/>
      <c r="E237" s="51"/>
      <c r="F237" s="51"/>
      <c r="G237" s="50"/>
      <c r="H237" s="50"/>
      <c r="I237" s="50"/>
      <c r="J237" s="51"/>
      <c r="K237" s="50"/>
      <c r="L237" s="50"/>
      <c r="M237" s="50"/>
      <c r="N237" s="50"/>
      <c r="O237" s="52"/>
      <c r="P237" s="50"/>
      <c r="Q237" s="52"/>
      <c r="R237" s="52"/>
      <c r="S237" s="49" t="str">
        <f aca="false">IF(B237="","",IF(OR(O237="",R237=""),"—",IF(O237&lt;=R237,"⚠ RÉAPPRO","OK")))</f>
        <v/>
      </c>
      <c r="T237" s="50"/>
      <c r="U237" s="50"/>
      <c r="V237" s="50"/>
      <c r="W237" s="50"/>
      <c r="X237" s="50"/>
      <c r="Y237" s="53" t="str">
        <f aca="false">IF(B237="","",IF(X237="","—",IF(X237="Non classé","Non classé",IFERROR(INDEX(RefH_Classe,MATCH(TRIM(LEFT(X237,FIND(",",X237&amp;",")-1)),RefH_Code,0)),"Code H inconnu"))))</f>
        <v/>
      </c>
      <c r="Z237" s="50"/>
      <c r="AA237" s="50"/>
      <c r="AB237" s="51"/>
      <c r="AC237" s="51"/>
      <c r="AD237" s="51"/>
      <c r="AE237" s="51"/>
      <c r="AF237" s="50"/>
      <c r="AG237" s="51"/>
      <c r="AH237" s="54"/>
      <c r="AI237" s="51"/>
      <c r="AJ237" s="55" t="str">
        <f aca="false">IF(AH237="","",EDATE(AH237,60))</f>
        <v/>
      </c>
      <c r="AK237" s="49" t="str">
        <f aca="true">IF(B237="","",IF(OR(AG237="Non",AH237=""),"FDS ABSENTE",IF(TODAY()&gt;=EDATE(AH237,60),"EXPIRÉE",IF(TODAY()&gt;=EDATE(AH237,54),"À RENOUVELER","CONFORME"))))</f>
        <v/>
      </c>
      <c r="AL237" s="50"/>
      <c r="AM237" s="54"/>
      <c r="AN237" s="54"/>
      <c r="AO237" s="50"/>
      <c r="AP237" s="50"/>
      <c r="AQ237" s="50"/>
      <c r="AR237" s="50"/>
      <c r="AS237" s="50"/>
      <c r="AT237" s="50"/>
      <c r="AU237" s="50"/>
      <c r="AV237" s="50"/>
      <c r="AW237" s="52"/>
      <c r="AX237" s="52"/>
      <c r="AY237" s="56" t="str">
        <f aca="false">IF(OR(AW237="",AX237=""),"",AW237*AX237)</f>
        <v/>
      </c>
      <c r="AZ237" s="52"/>
      <c r="BA237" s="56" t="str">
        <f aca="false">IF(AY237="","",IF(AZ237="",AY237,ROUNDUP(AY237/AZ237,0)))</f>
        <v/>
      </c>
      <c r="BB237" s="49" t="str">
        <f aca="false">IF(BA237="","",IF(BA237&gt;=15,"P1 – Critique",IF(BA237&gt;=8,"P2 – Élevée",IF(BA237&gt;=4,"P3 – Modérée","P4 – Faible"))))</f>
        <v/>
      </c>
      <c r="BC237" s="50"/>
      <c r="BD237" s="50"/>
      <c r="BE237" s="54"/>
      <c r="BF237" s="57"/>
      <c r="BG237" s="50"/>
      <c r="BH237" s="54"/>
      <c r="BI237" s="54"/>
      <c r="BJ237" s="50"/>
      <c r="BK237" s="50"/>
    </row>
    <row r="238" customFormat="false" ht="15" hidden="false" customHeight="false" outlineLevel="0" collapsed="false">
      <c r="A238" s="49" t="str">
        <f aca="false">IF(B238="","","PC-"&amp;TEXT(ROW()-2,"000"))</f>
        <v/>
      </c>
      <c r="B238" s="50"/>
      <c r="C238" s="50"/>
      <c r="D238" s="51"/>
      <c r="E238" s="51"/>
      <c r="F238" s="51"/>
      <c r="G238" s="50"/>
      <c r="H238" s="50"/>
      <c r="I238" s="50"/>
      <c r="J238" s="51"/>
      <c r="K238" s="50"/>
      <c r="L238" s="50"/>
      <c r="M238" s="50"/>
      <c r="N238" s="50"/>
      <c r="O238" s="52"/>
      <c r="P238" s="50"/>
      <c r="Q238" s="52"/>
      <c r="R238" s="52"/>
      <c r="S238" s="49" t="str">
        <f aca="false">IF(B238="","",IF(OR(O238="",R238=""),"—",IF(O238&lt;=R238,"⚠ RÉAPPRO","OK")))</f>
        <v/>
      </c>
      <c r="T238" s="50"/>
      <c r="U238" s="50"/>
      <c r="V238" s="50"/>
      <c r="W238" s="50"/>
      <c r="X238" s="50"/>
      <c r="Y238" s="53" t="str">
        <f aca="false">IF(B238="","",IF(X238="","—",IF(X238="Non classé","Non classé",IFERROR(INDEX(RefH_Classe,MATCH(TRIM(LEFT(X238,FIND(",",X238&amp;",")-1)),RefH_Code,0)),"Code H inconnu"))))</f>
        <v/>
      </c>
      <c r="Z238" s="50"/>
      <c r="AA238" s="50"/>
      <c r="AB238" s="51"/>
      <c r="AC238" s="51"/>
      <c r="AD238" s="51"/>
      <c r="AE238" s="51"/>
      <c r="AF238" s="50"/>
      <c r="AG238" s="51"/>
      <c r="AH238" s="54"/>
      <c r="AI238" s="51"/>
      <c r="AJ238" s="55" t="str">
        <f aca="false">IF(AH238="","",EDATE(AH238,60))</f>
        <v/>
      </c>
      <c r="AK238" s="49" t="str">
        <f aca="true">IF(B238="","",IF(OR(AG238="Non",AH238=""),"FDS ABSENTE",IF(TODAY()&gt;=EDATE(AH238,60),"EXPIRÉE",IF(TODAY()&gt;=EDATE(AH238,54),"À RENOUVELER","CONFORME"))))</f>
        <v/>
      </c>
      <c r="AL238" s="50"/>
      <c r="AM238" s="54"/>
      <c r="AN238" s="54"/>
      <c r="AO238" s="50"/>
      <c r="AP238" s="50"/>
      <c r="AQ238" s="50"/>
      <c r="AR238" s="50"/>
      <c r="AS238" s="50"/>
      <c r="AT238" s="50"/>
      <c r="AU238" s="50"/>
      <c r="AV238" s="50"/>
      <c r="AW238" s="52"/>
      <c r="AX238" s="52"/>
      <c r="AY238" s="56" t="str">
        <f aca="false">IF(OR(AW238="",AX238=""),"",AW238*AX238)</f>
        <v/>
      </c>
      <c r="AZ238" s="52"/>
      <c r="BA238" s="56" t="str">
        <f aca="false">IF(AY238="","",IF(AZ238="",AY238,ROUNDUP(AY238/AZ238,0)))</f>
        <v/>
      </c>
      <c r="BB238" s="49" t="str">
        <f aca="false">IF(BA238="","",IF(BA238&gt;=15,"P1 – Critique",IF(BA238&gt;=8,"P2 – Élevée",IF(BA238&gt;=4,"P3 – Modérée","P4 – Faible"))))</f>
        <v/>
      </c>
      <c r="BC238" s="50"/>
      <c r="BD238" s="50"/>
      <c r="BE238" s="54"/>
      <c r="BF238" s="57"/>
      <c r="BG238" s="50"/>
      <c r="BH238" s="54"/>
      <c r="BI238" s="54"/>
      <c r="BJ238" s="50"/>
      <c r="BK238" s="50"/>
    </row>
    <row r="239" customFormat="false" ht="15" hidden="false" customHeight="false" outlineLevel="0" collapsed="false">
      <c r="A239" s="49" t="str">
        <f aca="false">IF(B239="","","PC-"&amp;TEXT(ROW()-2,"000"))</f>
        <v/>
      </c>
      <c r="B239" s="50"/>
      <c r="C239" s="50"/>
      <c r="D239" s="51"/>
      <c r="E239" s="51"/>
      <c r="F239" s="51"/>
      <c r="G239" s="50"/>
      <c r="H239" s="50"/>
      <c r="I239" s="50"/>
      <c r="J239" s="51"/>
      <c r="K239" s="50"/>
      <c r="L239" s="50"/>
      <c r="M239" s="50"/>
      <c r="N239" s="50"/>
      <c r="O239" s="52"/>
      <c r="P239" s="50"/>
      <c r="Q239" s="52"/>
      <c r="R239" s="52"/>
      <c r="S239" s="49" t="str">
        <f aca="false">IF(B239="","",IF(OR(O239="",R239=""),"—",IF(O239&lt;=R239,"⚠ RÉAPPRO","OK")))</f>
        <v/>
      </c>
      <c r="T239" s="50"/>
      <c r="U239" s="50"/>
      <c r="V239" s="50"/>
      <c r="W239" s="50"/>
      <c r="X239" s="50"/>
      <c r="Y239" s="53" t="str">
        <f aca="false">IF(B239="","",IF(X239="","—",IF(X239="Non classé","Non classé",IFERROR(INDEX(RefH_Classe,MATCH(TRIM(LEFT(X239,FIND(",",X239&amp;",")-1)),RefH_Code,0)),"Code H inconnu"))))</f>
        <v/>
      </c>
      <c r="Z239" s="50"/>
      <c r="AA239" s="50"/>
      <c r="AB239" s="51"/>
      <c r="AC239" s="51"/>
      <c r="AD239" s="51"/>
      <c r="AE239" s="51"/>
      <c r="AF239" s="50"/>
      <c r="AG239" s="51"/>
      <c r="AH239" s="54"/>
      <c r="AI239" s="51"/>
      <c r="AJ239" s="55" t="str">
        <f aca="false">IF(AH239="","",EDATE(AH239,60))</f>
        <v/>
      </c>
      <c r="AK239" s="49" t="str">
        <f aca="true">IF(B239="","",IF(OR(AG239="Non",AH239=""),"FDS ABSENTE",IF(TODAY()&gt;=EDATE(AH239,60),"EXPIRÉE",IF(TODAY()&gt;=EDATE(AH239,54),"À RENOUVELER","CONFORME"))))</f>
        <v/>
      </c>
      <c r="AL239" s="50"/>
      <c r="AM239" s="54"/>
      <c r="AN239" s="54"/>
      <c r="AO239" s="50"/>
      <c r="AP239" s="50"/>
      <c r="AQ239" s="50"/>
      <c r="AR239" s="50"/>
      <c r="AS239" s="50"/>
      <c r="AT239" s="50"/>
      <c r="AU239" s="50"/>
      <c r="AV239" s="50"/>
      <c r="AW239" s="52"/>
      <c r="AX239" s="52"/>
      <c r="AY239" s="56" t="str">
        <f aca="false">IF(OR(AW239="",AX239=""),"",AW239*AX239)</f>
        <v/>
      </c>
      <c r="AZ239" s="52"/>
      <c r="BA239" s="56" t="str">
        <f aca="false">IF(AY239="","",IF(AZ239="",AY239,ROUNDUP(AY239/AZ239,0)))</f>
        <v/>
      </c>
      <c r="BB239" s="49" t="str">
        <f aca="false">IF(BA239="","",IF(BA239&gt;=15,"P1 – Critique",IF(BA239&gt;=8,"P2 – Élevée",IF(BA239&gt;=4,"P3 – Modérée","P4 – Faible"))))</f>
        <v/>
      </c>
      <c r="BC239" s="50"/>
      <c r="BD239" s="50"/>
      <c r="BE239" s="54"/>
      <c r="BF239" s="57"/>
      <c r="BG239" s="50"/>
      <c r="BH239" s="54"/>
      <c r="BI239" s="54"/>
      <c r="BJ239" s="50"/>
      <c r="BK239" s="50"/>
    </row>
    <row r="240" customFormat="false" ht="15" hidden="false" customHeight="false" outlineLevel="0" collapsed="false">
      <c r="A240" s="49" t="str">
        <f aca="false">IF(B240="","","PC-"&amp;TEXT(ROW()-2,"000"))</f>
        <v/>
      </c>
      <c r="B240" s="50"/>
      <c r="C240" s="50"/>
      <c r="D240" s="51"/>
      <c r="E240" s="51"/>
      <c r="F240" s="51"/>
      <c r="G240" s="50"/>
      <c r="H240" s="50"/>
      <c r="I240" s="50"/>
      <c r="J240" s="51"/>
      <c r="K240" s="50"/>
      <c r="L240" s="50"/>
      <c r="M240" s="50"/>
      <c r="N240" s="50"/>
      <c r="O240" s="52"/>
      <c r="P240" s="50"/>
      <c r="Q240" s="52"/>
      <c r="R240" s="52"/>
      <c r="S240" s="49" t="str">
        <f aca="false">IF(B240="","",IF(OR(O240="",R240=""),"—",IF(O240&lt;=R240,"⚠ RÉAPPRO","OK")))</f>
        <v/>
      </c>
      <c r="T240" s="50"/>
      <c r="U240" s="50"/>
      <c r="V240" s="50"/>
      <c r="W240" s="50"/>
      <c r="X240" s="50"/>
      <c r="Y240" s="53" t="str">
        <f aca="false">IF(B240="","",IF(X240="","—",IF(X240="Non classé","Non classé",IFERROR(INDEX(RefH_Classe,MATCH(TRIM(LEFT(X240,FIND(",",X240&amp;",")-1)),RefH_Code,0)),"Code H inconnu"))))</f>
        <v/>
      </c>
      <c r="Z240" s="50"/>
      <c r="AA240" s="50"/>
      <c r="AB240" s="51"/>
      <c r="AC240" s="51"/>
      <c r="AD240" s="51"/>
      <c r="AE240" s="51"/>
      <c r="AF240" s="50"/>
      <c r="AG240" s="51"/>
      <c r="AH240" s="54"/>
      <c r="AI240" s="51"/>
      <c r="AJ240" s="55" t="str">
        <f aca="false">IF(AH240="","",EDATE(AH240,60))</f>
        <v/>
      </c>
      <c r="AK240" s="49" t="str">
        <f aca="true">IF(B240="","",IF(OR(AG240="Non",AH240=""),"FDS ABSENTE",IF(TODAY()&gt;=EDATE(AH240,60),"EXPIRÉE",IF(TODAY()&gt;=EDATE(AH240,54),"À RENOUVELER","CONFORME"))))</f>
        <v/>
      </c>
      <c r="AL240" s="50"/>
      <c r="AM240" s="54"/>
      <c r="AN240" s="54"/>
      <c r="AO240" s="50"/>
      <c r="AP240" s="50"/>
      <c r="AQ240" s="50"/>
      <c r="AR240" s="50"/>
      <c r="AS240" s="50"/>
      <c r="AT240" s="50"/>
      <c r="AU240" s="50"/>
      <c r="AV240" s="50"/>
      <c r="AW240" s="52"/>
      <c r="AX240" s="52"/>
      <c r="AY240" s="56" t="str">
        <f aca="false">IF(OR(AW240="",AX240=""),"",AW240*AX240)</f>
        <v/>
      </c>
      <c r="AZ240" s="52"/>
      <c r="BA240" s="56" t="str">
        <f aca="false">IF(AY240="","",IF(AZ240="",AY240,ROUNDUP(AY240/AZ240,0)))</f>
        <v/>
      </c>
      <c r="BB240" s="49" t="str">
        <f aca="false">IF(BA240="","",IF(BA240&gt;=15,"P1 – Critique",IF(BA240&gt;=8,"P2 – Élevée",IF(BA240&gt;=4,"P3 – Modérée","P4 – Faible"))))</f>
        <v/>
      </c>
      <c r="BC240" s="50"/>
      <c r="BD240" s="50"/>
      <c r="BE240" s="54"/>
      <c r="BF240" s="57"/>
      <c r="BG240" s="50"/>
      <c r="BH240" s="54"/>
      <c r="BI240" s="54"/>
      <c r="BJ240" s="50"/>
      <c r="BK240" s="50"/>
    </row>
    <row r="241" customFormat="false" ht="15" hidden="false" customHeight="false" outlineLevel="0" collapsed="false">
      <c r="A241" s="49" t="str">
        <f aca="false">IF(B241="","","PC-"&amp;TEXT(ROW()-2,"000"))</f>
        <v/>
      </c>
      <c r="B241" s="50"/>
      <c r="C241" s="50"/>
      <c r="D241" s="51"/>
      <c r="E241" s="51"/>
      <c r="F241" s="51"/>
      <c r="G241" s="50"/>
      <c r="H241" s="50"/>
      <c r="I241" s="50"/>
      <c r="J241" s="51"/>
      <c r="K241" s="50"/>
      <c r="L241" s="50"/>
      <c r="M241" s="50"/>
      <c r="N241" s="50"/>
      <c r="O241" s="52"/>
      <c r="P241" s="50"/>
      <c r="Q241" s="52"/>
      <c r="R241" s="52"/>
      <c r="S241" s="49" t="str">
        <f aca="false">IF(B241="","",IF(OR(O241="",R241=""),"—",IF(O241&lt;=R241,"⚠ RÉAPPRO","OK")))</f>
        <v/>
      </c>
      <c r="T241" s="50"/>
      <c r="U241" s="50"/>
      <c r="V241" s="50"/>
      <c r="W241" s="50"/>
      <c r="X241" s="50"/>
      <c r="Y241" s="53" t="str">
        <f aca="false">IF(B241="","",IF(X241="","—",IF(X241="Non classé","Non classé",IFERROR(INDEX(RefH_Classe,MATCH(TRIM(LEFT(X241,FIND(",",X241&amp;",")-1)),RefH_Code,0)),"Code H inconnu"))))</f>
        <v/>
      </c>
      <c r="Z241" s="50"/>
      <c r="AA241" s="50"/>
      <c r="AB241" s="51"/>
      <c r="AC241" s="51"/>
      <c r="AD241" s="51"/>
      <c r="AE241" s="51"/>
      <c r="AF241" s="50"/>
      <c r="AG241" s="51"/>
      <c r="AH241" s="54"/>
      <c r="AI241" s="51"/>
      <c r="AJ241" s="55" t="str">
        <f aca="false">IF(AH241="","",EDATE(AH241,60))</f>
        <v/>
      </c>
      <c r="AK241" s="49" t="str">
        <f aca="true">IF(B241="","",IF(OR(AG241="Non",AH241=""),"FDS ABSENTE",IF(TODAY()&gt;=EDATE(AH241,60),"EXPIRÉE",IF(TODAY()&gt;=EDATE(AH241,54),"À RENOUVELER","CONFORME"))))</f>
        <v/>
      </c>
      <c r="AL241" s="50"/>
      <c r="AM241" s="54"/>
      <c r="AN241" s="54"/>
      <c r="AO241" s="50"/>
      <c r="AP241" s="50"/>
      <c r="AQ241" s="50"/>
      <c r="AR241" s="50"/>
      <c r="AS241" s="50"/>
      <c r="AT241" s="50"/>
      <c r="AU241" s="50"/>
      <c r="AV241" s="50"/>
      <c r="AW241" s="52"/>
      <c r="AX241" s="52"/>
      <c r="AY241" s="56" t="str">
        <f aca="false">IF(OR(AW241="",AX241=""),"",AW241*AX241)</f>
        <v/>
      </c>
      <c r="AZ241" s="52"/>
      <c r="BA241" s="56" t="str">
        <f aca="false">IF(AY241="","",IF(AZ241="",AY241,ROUNDUP(AY241/AZ241,0)))</f>
        <v/>
      </c>
      <c r="BB241" s="49" t="str">
        <f aca="false">IF(BA241="","",IF(BA241&gt;=15,"P1 – Critique",IF(BA241&gt;=8,"P2 – Élevée",IF(BA241&gt;=4,"P3 – Modérée","P4 – Faible"))))</f>
        <v/>
      </c>
      <c r="BC241" s="50"/>
      <c r="BD241" s="50"/>
      <c r="BE241" s="54"/>
      <c r="BF241" s="57"/>
      <c r="BG241" s="50"/>
      <c r="BH241" s="54"/>
      <c r="BI241" s="54"/>
      <c r="BJ241" s="50"/>
      <c r="BK241" s="50"/>
    </row>
    <row r="242" customFormat="false" ht="15" hidden="false" customHeight="false" outlineLevel="0" collapsed="false">
      <c r="A242" s="49" t="str">
        <f aca="false">IF(B242="","","PC-"&amp;TEXT(ROW()-2,"000"))</f>
        <v/>
      </c>
      <c r="B242" s="50"/>
      <c r="C242" s="50"/>
      <c r="D242" s="51"/>
      <c r="E242" s="51"/>
      <c r="F242" s="51"/>
      <c r="G242" s="50"/>
      <c r="H242" s="50"/>
      <c r="I242" s="50"/>
      <c r="J242" s="51"/>
      <c r="K242" s="50"/>
      <c r="L242" s="50"/>
      <c r="M242" s="50"/>
      <c r="N242" s="50"/>
      <c r="O242" s="52"/>
      <c r="P242" s="50"/>
      <c r="Q242" s="52"/>
      <c r="R242" s="52"/>
      <c r="S242" s="49" t="str">
        <f aca="false">IF(B242="","",IF(OR(O242="",R242=""),"—",IF(O242&lt;=R242,"⚠ RÉAPPRO","OK")))</f>
        <v/>
      </c>
      <c r="T242" s="50"/>
      <c r="U242" s="50"/>
      <c r="V242" s="50"/>
      <c r="W242" s="50"/>
      <c r="X242" s="50"/>
      <c r="Y242" s="53" t="str">
        <f aca="false">IF(B242="","",IF(X242="","—",IF(X242="Non classé","Non classé",IFERROR(INDEX(RefH_Classe,MATCH(TRIM(LEFT(X242,FIND(",",X242&amp;",")-1)),RefH_Code,0)),"Code H inconnu"))))</f>
        <v/>
      </c>
      <c r="Z242" s="50"/>
      <c r="AA242" s="50"/>
      <c r="AB242" s="51"/>
      <c r="AC242" s="51"/>
      <c r="AD242" s="51"/>
      <c r="AE242" s="51"/>
      <c r="AF242" s="50"/>
      <c r="AG242" s="51"/>
      <c r="AH242" s="54"/>
      <c r="AI242" s="51"/>
      <c r="AJ242" s="55" t="str">
        <f aca="false">IF(AH242="","",EDATE(AH242,60))</f>
        <v/>
      </c>
      <c r="AK242" s="49" t="str">
        <f aca="true">IF(B242="","",IF(OR(AG242="Non",AH242=""),"FDS ABSENTE",IF(TODAY()&gt;=EDATE(AH242,60),"EXPIRÉE",IF(TODAY()&gt;=EDATE(AH242,54),"À RENOUVELER","CONFORME"))))</f>
        <v/>
      </c>
      <c r="AL242" s="50"/>
      <c r="AM242" s="54"/>
      <c r="AN242" s="54"/>
      <c r="AO242" s="50"/>
      <c r="AP242" s="50"/>
      <c r="AQ242" s="50"/>
      <c r="AR242" s="50"/>
      <c r="AS242" s="50"/>
      <c r="AT242" s="50"/>
      <c r="AU242" s="50"/>
      <c r="AV242" s="50"/>
      <c r="AW242" s="52"/>
      <c r="AX242" s="52"/>
      <c r="AY242" s="56" t="str">
        <f aca="false">IF(OR(AW242="",AX242=""),"",AW242*AX242)</f>
        <v/>
      </c>
      <c r="AZ242" s="52"/>
      <c r="BA242" s="56" t="str">
        <f aca="false">IF(AY242="","",IF(AZ242="",AY242,ROUNDUP(AY242/AZ242,0)))</f>
        <v/>
      </c>
      <c r="BB242" s="49" t="str">
        <f aca="false">IF(BA242="","",IF(BA242&gt;=15,"P1 – Critique",IF(BA242&gt;=8,"P2 – Élevée",IF(BA242&gt;=4,"P3 – Modérée","P4 – Faible"))))</f>
        <v/>
      </c>
      <c r="BC242" s="50"/>
      <c r="BD242" s="50"/>
      <c r="BE242" s="54"/>
      <c r="BF242" s="57"/>
      <c r="BG242" s="50"/>
      <c r="BH242" s="54"/>
      <c r="BI242" s="54"/>
      <c r="BJ242" s="50"/>
      <c r="BK242" s="50"/>
    </row>
    <row r="243" customFormat="false" ht="15" hidden="false" customHeight="false" outlineLevel="0" collapsed="false">
      <c r="A243" s="49" t="str">
        <f aca="false">IF(B243="","","PC-"&amp;TEXT(ROW()-2,"000"))</f>
        <v/>
      </c>
      <c r="B243" s="50"/>
      <c r="C243" s="50"/>
      <c r="D243" s="51"/>
      <c r="E243" s="51"/>
      <c r="F243" s="51"/>
      <c r="G243" s="50"/>
      <c r="H243" s="50"/>
      <c r="I243" s="50"/>
      <c r="J243" s="51"/>
      <c r="K243" s="50"/>
      <c r="L243" s="50"/>
      <c r="M243" s="50"/>
      <c r="N243" s="50"/>
      <c r="O243" s="52"/>
      <c r="P243" s="50"/>
      <c r="Q243" s="52"/>
      <c r="R243" s="52"/>
      <c r="S243" s="49" t="str">
        <f aca="false">IF(B243="","",IF(OR(O243="",R243=""),"—",IF(O243&lt;=R243,"⚠ RÉAPPRO","OK")))</f>
        <v/>
      </c>
      <c r="T243" s="50"/>
      <c r="U243" s="50"/>
      <c r="V243" s="50"/>
      <c r="W243" s="50"/>
      <c r="X243" s="50"/>
      <c r="Y243" s="53" t="str">
        <f aca="false">IF(B243="","",IF(X243="","—",IF(X243="Non classé","Non classé",IFERROR(INDEX(RefH_Classe,MATCH(TRIM(LEFT(X243,FIND(",",X243&amp;",")-1)),RefH_Code,0)),"Code H inconnu"))))</f>
        <v/>
      </c>
      <c r="Z243" s="50"/>
      <c r="AA243" s="50"/>
      <c r="AB243" s="51"/>
      <c r="AC243" s="51"/>
      <c r="AD243" s="51"/>
      <c r="AE243" s="51"/>
      <c r="AF243" s="50"/>
      <c r="AG243" s="51"/>
      <c r="AH243" s="54"/>
      <c r="AI243" s="51"/>
      <c r="AJ243" s="55" t="str">
        <f aca="false">IF(AH243="","",EDATE(AH243,60))</f>
        <v/>
      </c>
      <c r="AK243" s="49" t="str">
        <f aca="true">IF(B243="","",IF(OR(AG243="Non",AH243=""),"FDS ABSENTE",IF(TODAY()&gt;=EDATE(AH243,60),"EXPIRÉE",IF(TODAY()&gt;=EDATE(AH243,54),"À RENOUVELER","CONFORME"))))</f>
        <v/>
      </c>
      <c r="AL243" s="50"/>
      <c r="AM243" s="54"/>
      <c r="AN243" s="54"/>
      <c r="AO243" s="50"/>
      <c r="AP243" s="50"/>
      <c r="AQ243" s="50"/>
      <c r="AR243" s="50"/>
      <c r="AS243" s="50"/>
      <c r="AT243" s="50"/>
      <c r="AU243" s="50"/>
      <c r="AV243" s="50"/>
      <c r="AW243" s="52"/>
      <c r="AX243" s="52"/>
      <c r="AY243" s="56" t="str">
        <f aca="false">IF(OR(AW243="",AX243=""),"",AW243*AX243)</f>
        <v/>
      </c>
      <c r="AZ243" s="52"/>
      <c r="BA243" s="56" t="str">
        <f aca="false">IF(AY243="","",IF(AZ243="",AY243,ROUNDUP(AY243/AZ243,0)))</f>
        <v/>
      </c>
      <c r="BB243" s="49" t="str">
        <f aca="false">IF(BA243="","",IF(BA243&gt;=15,"P1 – Critique",IF(BA243&gt;=8,"P2 – Élevée",IF(BA243&gt;=4,"P3 – Modérée","P4 – Faible"))))</f>
        <v/>
      </c>
      <c r="BC243" s="50"/>
      <c r="BD243" s="50"/>
      <c r="BE243" s="54"/>
      <c r="BF243" s="57"/>
      <c r="BG243" s="50"/>
      <c r="BH243" s="54"/>
      <c r="BI243" s="54"/>
      <c r="BJ243" s="50"/>
      <c r="BK243" s="50"/>
    </row>
    <row r="244" customFormat="false" ht="15" hidden="false" customHeight="false" outlineLevel="0" collapsed="false">
      <c r="A244" s="49" t="str">
        <f aca="false">IF(B244="","","PC-"&amp;TEXT(ROW()-2,"000"))</f>
        <v/>
      </c>
      <c r="B244" s="50"/>
      <c r="C244" s="50"/>
      <c r="D244" s="51"/>
      <c r="E244" s="51"/>
      <c r="F244" s="51"/>
      <c r="G244" s="50"/>
      <c r="H244" s="50"/>
      <c r="I244" s="50"/>
      <c r="J244" s="51"/>
      <c r="K244" s="50"/>
      <c r="L244" s="50"/>
      <c r="M244" s="50"/>
      <c r="N244" s="50"/>
      <c r="O244" s="52"/>
      <c r="P244" s="50"/>
      <c r="Q244" s="52"/>
      <c r="R244" s="52"/>
      <c r="S244" s="49" t="str">
        <f aca="false">IF(B244="","",IF(OR(O244="",R244=""),"—",IF(O244&lt;=R244,"⚠ RÉAPPRO","OK")))</f>
        <v/>
      </c>
      <c r="T244" s="50"/>
      <c r="U244" s="50"/>
      <c r="V244" s="50"/>
      <c r="W244" s="50"/>
      <c r="X244" s="50"/>
      <c r="Y244" s="53" t="str">
        <f aca="false">IF(B244="","",IF(X244="","—",IF(X244="Non classé","Non classé",IFERROR(INDEX(RefH_Classe,MATCH(TRIM(LEFT(X244,FIND(",",X244&amp;",")-1)),RefH_Code,0)),"Code H inconnu"))))</f>
        <v/>
      </c>
      <c r="Z244" s="50"/>
      <c r="AA244" s="50"/>
      <c r="AB244" s="51"/>
      <c r="AC244" s="51"/>
      <c r="AD244" s="51"/>
      <c r="AE244" s="51"/>
      <c r="AF244" s="50"/>
      <c r="AG244" s="51"/>
      <c r="AH244" s="54"/>
      <c r="AI244" s="51"/>
      <c r="AJ244" s="55" t="str">
        <f aca="false">IF(AH244="","",EDATE(AH244,60))</f>
        <v/>
      </c>
      <c r="AK244" s="49" t="str">
        <f aca="true">IF(B244="","",IF(OR(AG244="Non",AH244=""),"FDS ABSENTE",IF(TODAY()&gt;=EDATE(AH244,60),"EXPIRÉE",IF(TODAY()&gt;=EDATE(AH244,54),"À RENOUVELER","CONFORME"))))</f>
        <v/>
      </c>
      <c r="AL244" s="50"/>
      <c r="AM244" s="54"/>
      <c r="AN244" s="54"/>
      <c r="AO244" s="50"/>
      <c r="AP244" s="50"/>
      <c r="AQ244" s="50"/>
      <c r="AR244" s="50"/>
      <c r="AS244" s="50"/>
      <c r="AT244" s="50"/>
      <c r="AU244" s="50"/>
      <c r="AV244" s="50"/>
      <c r="AW244" s="52"/>
      <c r="AX244" s="52"/>
      <c r="AY244" s="56" t="str">
        <f aca="false">IF(OR(AW244="",AX244=""),"",AW244*AX244)</f>
        <v/>
      </c>
      <c r="AZ244" s="52"/>
      <c r="BA244" s="56" t="str">
        <f aca="false">IF(AY244="","",IF(AZ244="",AY244,ROUNDUP(AY244/AZ244,0)))</f>
        <v/>
      </c>
      <c r="BB244" s="49" t="str">
        <f aca="false">IF(BA244="","",IF(BA244&gt;=15,"P1 – Critique",IF(BA244&gt;=8,"P2 – Élevée",IF(BA244&gt;=4,"P3 – Modérée","P4 – Faible"))))</f>
        <v/>
      </c>
      <c r="BC244" s="50"/>
      <c r="BD244" s="50"/>
      <c r="BE244" s="54"/>
      <c r="BF244" s="57"/>
      <c r="BG244" s="50"/>
      <c r="BH244" s="54"/>
      <c r="BI244" s="54"/>
      <c r="BJ244" s="50"/>
      <c r="BK244" s="50"/>
    </row>
    <row r="245" customFormat="false" ht="15" hidden="false" customHeight="false" outlineLevel="0" collapsed="false">
      <c r="A245" s="49" t="str">
        <f aca="false">IF(B245="","","PC-"&amp;TEXT(ROW()-2,"000"))</f>
        <v/>
      </c>
      <c r="B245" s="50"/>
      <c r="C245" s="50"/>
      <c r="D245" s="51"/>
      <c r="E245" s="51"/>
      <c r="F245" s="51"/>
      <c r="G245" s="50"/>
      <c r="H245" s="50"/>
      <c r="I245" s="50"/>
      <c r="J245" s="51"/>
      <c r="K245" s="50"/>
      <c r="L245" s="50"/>
      <c r="M245" s="50"/>
      <c r="N245" s="50"/>
      <c r="O245" s="52"/>
      <c r="P245" s="50"/>
      <c r="Q245" s="52"/>
      <c r="R245" s="52"/>
      <c r="S245" s="49" t="str">
        <f aca="false">IF(B245="","",IF(OR(O245="",R245=""),"—",IF(O245&lt;=R245,"⚠ RÉAPPRO","OK")))</f>
        <v/>
      </c>
      <c r="T245" s="50"/>
      <c r="U245" s="50"/>
      <c r="V245" s="50"/>
      <c r="W245" s="50"/>
      <c r="X245" s="50"/>
      <c r="Y245" s="53" t="str">
        <f aca="false">IF(B245="","",IF(X245="","—",IF(X245="Non classé","Non classé",IFERROR(INDEX(RefH_Classe,MATCH(TRIM(LEFT(X245,FIND(",",X245&amp;",")-1)),RefH_Code,0)),"Code H inconnu"))))</f>
        <v/>
      </c>
      <c r="Z245" s="50"/>
      <c r="AA245" s="50"/>
      <c r="AB245" s="51"/>
      <c r="AC245" s="51"/>
      <c r="AD245" s="51"/>
      <c r="AE245" s="51"/>
      <c r="AF245" s="50"/>
      <c r="AG245" s="51"/>
      <c r="AH245" s="54"/>
      <c r="AI245" s="51"/>
      <c r="AJ245" s="55" t="str">
        <f aca="false">IF(AH245="","",EDATE(AH245,60))</f>
        <v/>
      </c>
      <c r="AK245" s="49" t="str">
        <f aca="true">IF(B245="","",IF(OR(AG245="Non",AH245=""),"FDS ABSENTE",IF(TODAY()&gt;=EDATE(AH245,60),"EXPIRÉE",IF(TODAY()&gt;=EDATE(AH245,54),"À RENOUVELER","CONFORME"))))</f>
        <v/>
      </c>
      <c r="AL245" s="50"/>
      <c r="AM245" s="54"/>
      <c r="AN245" s="54"/>
      <c r="AO245" s="50"/>
      <c r="AP245" s="50"/>
      <c r="AQ245" s="50"/>
      <c r="AR245" s="50"/>
      <c r="AS245" s="50"/>
      <c r="AT245" s="50"/>
      <c r="AU245" s="50"/>
      <c r="AV245" s="50"/>
      <c r="AW245" s="52"/>
      <c r="AX245" s="52"/>
      <c r="AY245" s="56" t="str">
        <f aca="false">IF(OR(AW245="",AX245=""),"",AW245*AX245)</f>
        <v/>
      </c>
      <c r="AZ245" s="52"/>
      <c r="BA245" s="56" t="str">
        <f aca="false">IF(AY245="","",IF(AZ245="",AY245,ROUNDUP(AY245/AZ245,0)))</f>
        <v/>
      </c>
      <c r="BB245" s="49" t="str">
        <f aca="false">IF(BA245="","",IF(BA245&gt;=15,"P1 – Critique",IF(BA245&gt;=8,"P2 – Élevée",IF(BA245&gt;=4,"P3 – Modérée","P4 – Faible"))))</f>
        <v/>
      </c>
      <c r="BC245" s="50"/>
      <c r="BD245" s="50"/>
      <c r="BE245" s="54"/>
      <c r="BF245" s="57"/>
      <c r="BG245" s="50"/>
      <c r="BH245" s="54"/>
      <c r="BI245" s="54"/>
      <c r="BJ245" s="50"/>
      <c r="BK245" s="50"/>
    </row>
    <row r="246" customFormat="false" ht="15" hidden="false" customHeight="false" outlineLevel="0" collapsed="false">
      <c r="A246" s="49" t="str">
        <f aca="false">IF(B246="","","PC-"&amp;TEXT(ROW()-2,"000"))</f>
        <v/>
      </c>
      <c r="B246" s="50"/>
      <c r="C246" s="50"/>
      <c r="D246" s="51"/>
      <c r="E246" s="51"/>
      <c r="F246" s="51"/>
      <c r="G246" s="50"/>
      <c r="H246" s="50"/>
      <c r="I246" s="50"/>
      <c r="J246" s="51"/>
      <c r="K246" s="50"/>
      <c r="L246" s="50"/>
      <c r="M246" s="50"/>
      <c r="N246" s="50"/>
      <c r="O246" s="52"/>
      <c r="P246" s="50"/>
      <c r="Q246" s="52"/>
      <c r="R246" s="52"/>
      <c r="S246" s="49" t="str">
        <f aca="false">IF(B246="","",IF(OR(O246="",R246=""),"—",IF(O246&lt;=R246,"⚠ RÉAPPRO","OK")))</f>
        <v/>
      </c>
      <c r="T246" s="50"/>
      <c r="U246" s="50"/>
      <c r="V246" s="50"/>
      <c r="W246" s="50"/>
      <c r="X246" s="50"/>
      <c r="Y246" s="53" t="str">
        <f aca="false">IF(B246="","",IF(X246="","—",IF(X246="Non classé","Non classé",IFERROR(INDEX(RefH_Classe,MATCH(TRIM(LEFT(X246,FIND(",",X246&amp;",")-1)),RefH_Code,0)),"Code H inconnu"))))</f>
        <v/>
      </c>
      <c r="Z246" s="50"/>
      <c r="AA246" s="50"/>
      <c r="AB246" s="51"/>
      <c r="AC246" s="51"/>
      <c r="AD246" s="51"/>
      <c r="AE246" s="51"/>
      <c r="AF246" s="50"/>
      <c r="AG246" s="51"/>
      <c r="AH246" s="54"/>
      <c r="AI246" s="51"/>
      <c r="AJ246" s="55" t="str">
        <f aca="false">IF(AH246="","",EDATE(AH246,60))</f>
        <v/>
      </c>
      <c r="AK246" s="49" t="str">
        <f aca="true">IF(B246="","",IF(OR(AG246="Non",AH246=""),"FDS ABSENTE",IF(TODAY()&gt;=EDATE(AH246,60),"EXPIRÉE",IF(TODAY()&gt;=EDATE(AH246,54),"À RENOUVELER","CONFORME"))))</f>
        <v/>
      </c>
      <c r="AL246" s="50"/>
      <c r="AM246" s="54"/>
      <c r="AN246" s="54"/>
      <c r="AO246" s="50"/>
      <c r="AP246" s="50"/>
      <c r="AQ246" s="50"/>
      <c r="AR246" s="50"/>
      <c r="AS246" s="50"/>
      <c r="AT246" s="50"/>
      <c r="AU246" s="50"/>
      <c r="AV246" s="50"/>
      <c r="AW246" s="52"/>
      <c r="AX246" s="52"/>
      <c r="AY246" s="56" t="str">
        <f aca="false">IF(OR(AW246="",AX246=""),"",AW246*AX246)</f>
        <v/>
      </c>
      <c r="AZ246" s="52"/>
      <c r="BA246" s="56" t="str">
        <f aca="false">IF(AY246="","",IF(AZ246="",AY246,ROUNDUP(AY246/AZ246,0)))</f>
        <v/>
      </c>
      <c r="BB246" s="49" t="str">
        <f aca="false">IF(BA246="","",IF(BA246&gt;=15,"P1 – Critique",IF(BA246&gt;=8,"P2 – Élevée",IF(BA246&gt;=4,"P3 – Modérée","P4 – Faible"))))</f>
        <v/>
      </c>
      <c r="BC246" s="50"/>
      <c r="BD246" s="50"/>
      <c r="BE246" s="54"/>
      <c r="BF246" s="57"/>
      <c r="BG246" s="50"/>
      <c r="BH246" s="54"/>
      <c r="BI246" s="54"/>
      <c r="BJ246" s="50"/>
      <c r="BK246" s="50"/>
    </row>
    <row r="247" customFormat="false" ht="15" hidden="false" customHeight="false" outlineLevel="0" collapsed="false">
      <c r="A247" s="49" t="str">
        <f aca="false">IF(B247="","","PC-"&amp;TEXT(ROW()-2,"000"))</f>
        <v/>
      </c>
      <c r="B247" s="50"/>
      <c r="C247" s="50"/>
      <c r="D247" s="51"/>
      <c r="E247" s="51"/>
      <c r="F247" s="51"/>
      <c r="G247" s="50"/>
      <c r="H247" s="50"/>
      <c r="I247" s="50"/>
      <c r="J247" s="51"/>
      <c r="K247" s="50"/>
      <c r="L247" s="50"/>
      <c r="M247" s="50"/>
      <c r="N247" s="50"/>
      <c r="O247" s="52"/>
      <c r="P247" s="50"/>
      <c r="Q247" s="52"/>
      <c r="R247" s="52"/>
      <c r="S247" s="49" t="str">
        <f aca="false">IF(B247="","",IF(OR(O247="",R247=""),"—",IF(O247&lt;=R247,"⚠ RÉAPPRO","OK")))</f>
        <v/>
      </c>
      <c r="T247" s="50"/>
      <c r="U247" s="50"/>
      <c r="V247" s="50"/>
      <c r="W247" s="50"/>
      <c r="X247" s="50"/>
      <c r="Y247" s="53" t="str">
        <f aca="false">IF(B247="","",IF(X247="","—",IF(X247="Non classé","Non classé",IFERROR(INDEX(RefH_Classe,MATCH(TRIM(LEFT(X247,FIND(",",X247&amp;",")-1)),RefH_Code,0)),"Code H inconnu"))))</f>
        <v/>
      </c>
      <c r="Z247" s="50"/>
      <c r="AA247" s="50"/>
      <c r="AB247" s="51"/>
      <c r="AC247" s="51"/>
      <c r="AD247" s="51"/>
      <c r="AE247" s="51"/>
      <c r="AF247" s="50"/>
      <c r="AG247" s="51"/>
      <c r="AH247" s="54"/>
      <c r="AI247" s="51"/>
      <c r="AJ247" s="55" t="str">
        <f aca="false">IF(AH247="","",EDATE(AH247,60))</f>
        <v/>
      </c>
      <c r="AK247" s="49" t="str">
        <f aca="true">IF(B247="","",IF(OR(AG247="Non",AH247=""),"FDS ABSENTE",IF(TODAY()&gt;=EDATE(AH247,60),"EXPIRÉE",IF(TODAY()&gt;=EDATE(AH247,54),"À RENOUVELER","CONFORME"))))</f>
        <v/>
      </c>
      <c r="AL247" s="50"/>
      <c r="AM247" s="54"/>
      <c r="AN247" s="54"/>
      <c r="AO247" s="50"/>
      <c r="AP247" s="50"/>
      <c r="AQ247" s="50"/>
      <c r="AR247" s="50"/>
      <c r="AS247" s="50"/>
      <c r="AT247" s="50"/>
      <c r="AU247" s="50"/>
      <c r="AV247" s="50"/>
      <c r="AW247" s="52"/>
      <c r="AX247" s="52"/>
      <c r="AY247" s="56" t="str">
        <f aca="false">IF(OR(AW247="",AX247=""),"",AW247*AX247)</f>
        <v/>
      </c>
      <c r="AZ247" s="52"/>
      <c r="BA247" s="56" t="str">
        <f aca="false">IF(AY247="","",IF(AZ247="",AY247,ROUNDUP(AY247/AZ247,0)))</f>
        <v/>
      </c>
      <c r="BB247" s="49" t="str">
        <f aca="false">IF(BA247="","",IF(BA247&gt;=15,"P1 – Critique",IF(BA247&gt;=8,"P2 – Élevée",IF(BA247&gt;=4,"P3 – Modérée","P4 – Faible"))))</f>
        <v/>
      </c>
      <c r="BC247" s="50"/>
      <c r="BD247" s="50"/>
      <c r="BE247" s="54"/>
      <c r="BF247" s="57"/>
      <c r="BG247" s="50"/>
      <c r="BH247" s="54"/>
      <c r="BI247" s="54"/>
      <c r="BJ247" s="50"/>
      <c r="BK247" s="50"/>
    </row>
    <row r="248" customFormat="false" ht="15" hidden="false" customHeight="false" outlineLevel="0" collapsed="false">
      <c r="A248" s="49" t="str">
        <f aca="false">IF(B248="","","PC-"&amp;TEXT(ROW()-2,"000"))</f>
        <v/>
      </c>
      <c r="B248" s="50"/>
      <c r="C248" s="50"/>
      <c r="D248" s="51"/>
      <c r="E248" s="51"/>
      <c r="F248" s="51"/>
      <c r="G248" s="50"/>
      <c r="H248" s="50"/>
      <c r="I248" s="50"/>
      <c r="J248" s="51"/>
      <c r="K248" s="50"/>
      <c r="L248" s="50"/>
      <c r="M248" s="50"/>
      <c r="N248" s="50"/>
      <c r="O248" s="52"/>
      <c r="P248" s="50"/>
      <c r="Q248" s="52"/>
      <c r="R248" s="52"/>
      <c r="S248" s="49" t="str">
        <f aca="false">IF(B248="","",IF(OR(O248="",R248=""),"—",IF(O248&lt;=R248,"⚠ RÉAPPRO","OK")))</f>
        <v/>
      </c>
      <c r="T248" s="50"/>
      <c r="U248" s="50"/>
      <c r="V248" s="50"/>
      <c r="W248" s="50"/>
      <c r="X248" s="50"/>
      <c r="Y248" s="53" t="str">
        <f aca="false">IF(B248="","",IF(X248="","—",IF(X248="Non classé","Non classé",IFERROR(INDEX(RefH_Classe,MATCH(TRIM(LEFT(X248,FIND(",",X248&amp;",")-1)),RefH_Code,0)),"Code H inconnu"))))</f>
        <v/>
      </c>
      <c r="Z248" s="50"/>
      <c r="AA248" s="50"/>
      <c r="AB248" s="51"/>
      <c r="AC248" s="51"/>
      <c r="AD248" s="51"/>
      <c r="AE248" s="51"/>
      <c r="AF248" s="50"/>
      <c r="AG248" s="51"/>
      <c r="AH248" s="54"/>
      <c r="AI248" s="51"/>
      <c r="AJ248" s="55" t="str">
        <f aca="false">IF(AH248="","",EDATE(AH248,60))</f>
        <v/>
      </c>
      <c r="AK248" s="49" t="str">
        <f aca="true">IF(B248="","",IF(OR(AG248="Non",AH248=""),"FDS ABSENTE",IF(TODAY()&gt;=EDATE(AH248,60),"EXPIRÉE",IF(TODAY()&gt;=EDATE(AH248,54),"À RENOUVELER","CONFORME"))))</f>
        <v/>
      </c>
      <c r="AL248" s="50"/>
      <c r="AM248" s="54"/>
      <c r="AN248" s="54"/>
      <c r="AO248" s="50"/>
      <c r="AP248" s="50"/>
      <c r="AQ248" s="50"/>
      <c r="AR248" s="50"/>
      <c r="AS248" s="50"/>
      <c r="AT248" s="50"/>
      <c r="AU248" s="50"/>
      <c r="AV248" s="50"/>
      <c r="AW248" s="52"/>
      <c r="AX248" s="52"/>
      <c r="AY248" s="56" t="str">
        <f aca="false">IF(OR(AW248="",AX248=""),"",AW248*AX248)</f>
        <v/>
      </c>
      <c r="AZ248" s="52"/>
      <c r="BA248" s="56" t="str">
        <f aca="false">IF(AY248="","",IF(AZ248="",AY248,ROUNDUP(AY248/AZ248,0)))</f>
        <v/>
      </c>
      <c r="BB248" s="49" t="str">
        <f aca="false">IF(BA248="","",IF(BA248&gt;=15,"P1 – Critique",IF(BA248&gt;=8,"P2 – Élevée",IF(BA248&gt;=4,"P3 – Modérée","P4 – Faible"))))</f>
        <v/>
      </c>
      <c r="BC248" s="50"/>
      <c r="BD248" s="50"/>
      <c r="BE248" s="54"/>
      <c r="BF248" s="57"/>
      <c r="BG248" s="50"/>
      <c r="BH248" s="54"/>
      <c r="BI248" s="54"/>
      <c r="BJ248" s="50"/>
      <c r="BK248" s="50"/>
    </row>
    <row r="249" customFormat="false" ht="15" hidden="false" customHeight="false" outlineLevel="0" collapsed="false">
      <c r="A249" s="49" t="str">
        <f aca="false">IF(B249="","","PC-"&amp;TEXT(ROW()-2,"000"))</f>
        <v/>
      </c>
      <c r="B249" s="50"/>
      <c r="C249" s="50"/>
      <c r="D249" s="51"/>
      <c r="E249" s="51"/>
      <c r="F249" s="51"/>
      <c r="G249" s="50"/>
      <c r="H249" s="50"/>
      <c r="I249" s="50"/>
      <c r="J249" s="51"/>
      <c r="K249" s="50"/>
      <c r="L249" s="50"/>
      <c r="M249" s="50"/>
      <c r="N249" s="50"/>
      <c r="O249" s="52"/>
      <c r="P249" s="50"/>
      <c r="Q249" s="52"/>
      <c r="R249" s="52"/>
      <c r="S249" s="49" t="str">
        <f aca="false">IF(B249="","",IF(OR(O249="",R249=""),"—",IF(O249&lt;=R249,"⚠ RÉAPPRO","OK")))</f>
        <v/>
      </c>
      <c r="T249" s="50"/>
      <c r="U249" s="50"/>
      <c r="V249" s="50"/>
      <c r="W249" s="50"/>
      <c r="X249" s="50"/>
      <c r="Y249" s="53" t="str">
        <f aca="false">IF(B249="","",IF(X249="","—",IF(X249="Non classé","Non classé",IFERROR(INDEX(RefH_Classe,MATCH(TRIM(LEFT(X249,FIND(",",X249&amp;",")-1)),RefH_Code,0)),"Code H inconnu"))))</f>
        <v/>
      </c>
      <c r="Z249" s="50"/>
      <c r="AA249" s="50"/>
      <c r="AB249" s="51"/>
      <c r="AC249" s="51"/>
      <c r="AD249" s="51"/>
      <c r="AE249" s="51"/>
      <c r="AF249" s="50"/>
      <c r="AG249" s="51"/>
      <c r="AH249" s="54"/>
      <c r="AI249" s="51"/>
      <c r="AJ249" s="55" t="str">
        <f aca="false">IF(AH249="","",EDATE(AH249,60))</f>
        <v/>
      </c>
      <c r="AK249" s="49" t="str">
        <f aca="true">IF(B249="","",IF(OR(AG249="Non",AH249=""),"FDS ABSENTE",IF(TODAY()&gt;=EDATE(AH249,60),"EXPIRÉE",IF(TODAY()&gt;=EDATE(AH249,54),"À RENOUVELER","CONFORME"))))</f>
        <v/>
      </c>
      <c r="AL249" s="50"/>
      <c r="AM249" s="54"/>
      <c r="AN249" s="54"/>
      <c r="AO249" s="50"/>
      <c r="AP249" s="50"/>
      <c r="AQ249" s="50"/>
      <c r="AR249" s="50"/>
      <c r="AS249" s="50"/>
      <c r="AT249" s="50"/>
      <c r="AU249" s="50"/>
      <c r="AV249" s="50"/>
      <c r="AW249" s="52"/>
      <c r="AX249" s="52"/>
      <c r="AY249" s="56" t="str">
        <f aca="false">IF(OR(AW249="",AX249=""),"",AW249*AX249)</f>
        <v/>
      </c>
      <c r="AZ249" s="52"/>
      <c r="BA249" s="56" t="str">
        <f aca="false">IF(AY249="","",IF(AZ249="",AY249,ROUNDUP(AY249/AZ249,0)))</f>
        <v/>
      </c>
      <c r="BB249" s="49" t="str">
        <f aca="false">IF(BA249="","",IF(BA249&gt;=15,"P1 – Critique",IF(BA249&gt;=8,"P2 – Élevée",IF(BA249&gt;=4,"P3 – Modérée","P4 – Faible"))))</f>
        <v/>
      </c>
      <c r="BC249" s="50"/>
      <c r="BD249" s="50"/>
      <c r="BE249" s="54"/>
      <c r="BF249" s="57"/>
      <c r="BG249" s="50"/>
      <c r="BH249" s="54"/>
      <c r="BI249" s="54"/>
      <c r="BJ249" s="50"/>
      <c r="BK249" s="50"/>
    </row>
    <row r="250" customFormat="false" ht="15" hidden="false" customHeight="false" outlineLevel="0" collapsed="false">
      <c r="A250" s="49" t="str">
        <f aca="false">IF(B250="","","PC-"&amp;TEXT(ROW()-2,"000"))</f>
        <v/>
      </c>
      <c r="B250" s="50"/>
      <c r="C250" s="50"/>
      <c r="D250" s="51"/>
      <c r="E250" s="51"/>
      <c r="F250" s="51"/>
      <c r="G250" s="50"/>
      <c r="H250" s="50"/>
      <c r="I250" s="50"/>
      <c r="J250" s="51"/>
      <c r="K250" s="50"/>
      <c r="L250" s="50"/>
      <c r="M250" s="50"/>
      <c r="N250" s="50"/>
      <c r="O250" s="52"/>
      <c r="P250" s="50"/>
      <c r="Q250" s="52"/>
      <c r="R250" s="52"/>
      <c r="S250" s="49" t="str">
        <f aca="false">IF(B250="","",IF(OR(O250="",R250=""),"—",IF(O250&lt;=R250,"⚠ RÉAPPRO","OK")))</f>
        <v/>
      </c>
      <c r="T250" s="50"/>
      <c r="U250" s="50"/>
      <c r="V250" s="50"/>
      <c r="W250" s="50"/>
      <c r="X250" s="50"/>
      <c r="Y250" s="53" t="str">
        <f aca="false">IF(B250="","",IF(X250="","—",IF(X250="Non classé","Non classé",IFERROR(INDEX(RefH_Classe,MATCH(TRIM(LEFT(X250,FIND(",",X250&amp;",")-1)),RefH_Code,0)),"Code H inconnu"))))</f>
        <v/>
      </c>
      <c r="Z250" s="50"/>
      <c r="AA250" s="50"/>
      <c r="AB250" s="51"/>
      <c r="AC250" s="51"/>
      <c r="AD250" s="51"/>
      <c r="AE250" s="51"/>
      <c r="AF250" s="50"/>
      <c r="AG250" s="51"/>
      <c r="AH250" s="54"/>
      <c r="AI250" s="51"/>
      <c r="AJ250" s="55" t="str">
        <f aca="false">IF(AH250="","",EDATE(AH250,60))</f>
        <v/>
      </c>
      <c r="AK250" s="49" t="str">
        <f aca="true">IF(B250="","",IF(OR(AG250="Non",AH250=""),"FDS ABSENTE",IF(TODAY()&gt;=EDATE(AH250,60),"EXPIRÉE",IF(TODAY()&gt;=EDATE(AH250,54),"À RENOUVELER","CONFORME"))))</f>
        <v/>
      </c>
      <c r="AL250" s="50"/>
      <c r="AM250" s="54"/>
      <c r="AN250" s="54"/>
      <c r="AO250" s="50"/>
      <c r="AP250" s="50"/>
      <c r="AQ250" s="50"/>
      <c r="AR250" s="50"/>
      <c r="AS250" s="50"/>
      <c r="AT250" s="50"/>
      <c r="AU250" s="50"/>
      <c r="AV250" s="50"/>
      <c r="AW250" s="52"/>
      <c r="AX250" s="52"/>
      <c r="AY250" s="56" t="str">
        <f aca="false">IF(OR(AW250="",AX250=""),"",AW250*AX250)</f>
        <v/>
      </c>
      <c r="AZ250" s="52"/>
      <c r="BA250" s="56" t="str">
        <f aca="false">IF(AY250="","",IF(AZ250="",AY250,ROUNDUP(AY250/AZ250,0)))</f>
        <v/>
      </c>
      <c r="BB250" s="49" t="str">
        <f aca="false">IF(BA250="","",IF(BA250&gt;=15,"P1 – Critique",IF(BA250&gt;=8,"P2 – Élevée",IF(BA250&gt;=4,"P3 – Modérée","P4 – Faible"))))</f>
        <v/>
      </c>
      <c r="BC250" s="50"/>
      <c r="BD250" s="50"/>
      <c r="BE250" s="54"/>
      <c r="BF250" s="57"/>
      <c r="BG250" s="50"/>
      <c r="BH250" s="54"/>
      <c r="BI250" s="54"/>
      <c r="BJ250" s="50"/>
      <c r="BK250" s="50"/>
    </row>
    <row r="251" customFormat="false" ht="15" hidden="false" customHeight="false" outlineLevel="0" collapsed="false">
      <c r="A251" s="49" t="str">
        <f aca="false">IF(B251="","","PC-"&amp;TEXT(ROW()-2,"000"))</f>
        <v/>
      </c>
      <c r="B251" s="50"/>
      <c r="C251" s="50"/>
      <c r="D251" s="51"/>
      <c r="E251" s="51"/>
      <c r="F251" s="51"/>
      <c r="G251" s="50"/>
      <c r="H251" s="50"/>
      <c r="I251" s="50"/>
      <c r="J251" s="51"/>
      <c r="K251" s="50"/>
      <c r="L251" s="50"/>
      <c r="M251" s="50"/>
      <c r="N251" s="50"/>
      <c r="O251" s="52"/>
      <c r="P251" s="50"/>
      <c r="Q251" s="52"/>
      <c r="R251" s="52"/>
      <c r="S251" s="49" t="str">
        <f aca="false">IF(B251="","",IF(OR(O251="",R251=""),"—",IF(O251&lt;=R251,"⚠ RÉAPPRO","OK")))</f>
        <v/>
      </c>
      <c r="T251" s="50"/>
      <c r="U251" s="50"/>
      <c r="V251" s="50"/>
      <c r="W251" s="50"/>
      <c r="X251" s="50"/>
      <c r="Y251" s="53" t="str">
        <f aca="false">IF(B251="","",IF(X251="","—",IF(X251="Non classé","Non classé",IFERROR(INDEX(RefH_Classe,MATCH(TRIM(LEFT(X251,FIND(",",X251&amp;",")-1)),RefH_Code,0)),"Code H inconnu"))))</f>
        <v/>
      </c>
      <c r="Z251" s="50"/>
      <c r="AA251" s="50"/>
      <c r="AB251" s="51"/>
      <c r="AC251" s="51"/>
      <c r="AD251" s="51"/>
      <c r="AE251" s="51"/>
      <c r="AF251" s="50"/>
      <c r="AG251" s="51"/>
      <c r="AH251" s="54"/>
      <c r="AI251" s="51"/>
      <c r="AJ251" s="55" t="str">
        <f aca="false">IF(AH251="","",EDATE(AH251,60))</f>
        <v/>
      </c>
      <c r="AK251" s="49" t="str">
        <f aca="true">IF(B251="","",IF(OR(AG251="Non",AH251=""),"FDS ABSENTE",IF(TODAY()&gt;=EDATE(AH251,60),"EXPIRÉE",IF(TODAY()&gt;=EDATE(AH251,54),"À RENOUVELER","CONFORME"))))</f>
        <v/>
      </c>
      <c r="AL251" s="50"/>
      <c r="AM251" s="54"/>
      <c r="AN251" s="54"/>
      <c r="AO251" s="50"/>
      <c r="AP251" s="50"/>
      <c r="AQ251" s="50"/>
      <c r="AR251" s="50"/>
      <c r="AS251" s="50"/>
      <c r="AT251" s="50"/>
      <c r="AU251" s="50"/>
      <c r="AV251" s="50"/>
      <c r="AW251" s="52"/>
      <c r="AX251" s="52"/>
      <c r="AY251" s="56" t="str">
        <f aca="false">IF(OR(AW251="",AX251=""),"",AW251*AX251)</f>
        <v/>
      </c>
      <c r="AZ251" s="52"/>
      <c r="BA251" s="56" t="str">
        <f aca="false">IF(AY251="","",IF(AZ251="",AY251,ROUNDUP(AY251/AZ251,0)))</f>
        <v/>
      </c>
      <c r="BB251" s="49" t="str">
        <f aca="false">IF(BA251="","",IF(BA251&gt;=15,"P1 – Critique",IF(BA251&gt;=8,"P2 – Élevée",IF(BA251&gt;=4,"P3 – Modérée","P4 – Faible"))))</f>
        <v/>
      </c>
      <c r="BC251" s="50"/>
      <c r="BD251" s="50"/>
      <c r="BE251" s="54"/>
      <c r="BF251" s="57"/>
      <c r="BG251" s="50"/>
      <c r="BH251" s="54"/>
      <c r="BI251" s="54"/>
      <c r="BJ251" s="50"/>
      <c r="BK251" s="50"/>
    </row>
    <row r="252" customFormat="false" ht="15" hidden="false" customHeight="false" outlineLevel="0" collapsed="false">
      <c r="A252" s="49" t="str">
        <f aca="false">IF(B252="","","PC-"&amp;TEXT(ROW()-2,"000"))</f>
        <v/>
      </c>
      <c r="B252" s="50"/>
      <c r="C252" s="50"/>
      <c r="D252" s="51"/>
      <c r="E252" s="51"/>
      <c r="F252" s="51"/>
      <c r="G252" s="50"/>
      <c r="H252" s="50"/>
      <c r="I252" s="50"/>
      <c r="J252" s="51"/>
      <c r="K252" s="50"/>
      <c r="L252" s="50"/>
      <c r="M252" s="50"/>
      <c r="N252" s="50"/>
      <c r="O252" s="52"/>
      <c r="P252" s="50"/>
      <c r="Q252" s="52"/>
      <c r="R252" s="52"/>
      <c r="S252" s="49" t="str">
        <f aca="false">IF(B252="","",IF(OR(O252="",R252=""),"—",IF(O252&lt;=R252,"⚠ RÉAPPRO","OK")))</f>
        <v/>
      </c>
      <c r="T252" s="50"/>
      <c r="U252" s="50"/>
      <c r="V252" s="50"/>
      <c r="W252" s="50"/>
      <c r="X252" s="50"/>
      <c r="Y252" s="53" t="str">
        <f aca="false">IF(B252="","",IF(X252="","—",IF(X252="Non classé","Non classé",IFERROR(INDEX(RefH_Classe,MATCH(TRIM(LEFT(X252,FIND(",",X252&amp;",")-1)),RefH_Code,0)),"Code H inconnu"))))</f>
        <v/>
      </c>
      <c r="Z252" s="50"/>
      <c r="AA252" s="50"/>
      <c r="AB252" s="51"/>
      <c r="AC252" s="51"/>
      <c r="AD252" s="51"/>
      <c r="AE252" s="51"/>
      <c r="AF252" s="50"/>
      <c r="AG252" s="51"/>
      <c r="AH252" s="54"/>
      <c r="AI252" s="51"/>
      <c r="AJ252" s="55" t="str">
        <f aca="false">IF(AH252="","",EDATE(AH252,60))</f>
        <v/>
      </c>
      <c r="AK252" s="49" t="str">
        <f aca="true">IF(B252="","",IF(OR(AG252="Non",AH252=""),"FDS ABSENTE",IF(TODAY()&gt;=EDATE(AH252,60),"EXPIRÉE",IF(TODAY()&gt;=EDATE(AH252,54),"À RENOUVELER","CONFORME"))))</f>
        <v/>
      </c>
      <c r="AL252" s="50"/>
      <c r="AM252" s="54"/>
      <c r="AN252" s="54"/>
      <c r="AO252" s="50"/>
      <c r="AP252" s="50"/>
      <c r="AQ252" s="50"/>
      <c r="AR252" s="50"/>
      <c r="AS252" s="50"/>
      <c r="AT252" s="50"/>
      <c r="AU252" s="50"/>
      <c r="AV252" s="50"/>
      <c r="AW252" s="52"/>
      <c r="AX252" s="52"/>
      <c r="AY252" s="56" t="str">
        <f aca="false">IF(OR(AW252="",AX252=""),"",AW252*AX252)</f>
        <v/>
      </c>
      <c r="AZ252" s="52"/>
      <c r="BA252" s="56" t="str">
        <f aca="false">IF(AY252="","",IF(AZ252="",AY252,ROUNDUP(AY252/AZ252,0)))</f>
        <v/>
      </c>
      <c r="BB252" s="49" t="str">
        <f aca="false">IF(BA252="","",IF(BA252&gt;=15,"P1 – Critique",IF(BA252&gt;=8,"P2 – Élevée",IF(BA252&gt;=4,"P3 – Modérée","P4 – Faible"))))</f>
        <v/>
      </c>
      <c r="BC252" s="50"/>
      <c r="BD252" s="50"/>
      <c r="BE252" s="54"/>
      <c r="BF252" s="57"/>
      <c r="BG252" s="50"/>
      <c r="BH252" s="54"/>
      <c r="BI252" s="54"/>
      <c r="BJ252" s="50"/>
      <c r="BK252" s="50"/>
    </row>
    <row r="253" customFormat="false" ht="15" hidden="false" customHeight="false" outlineLevel="0" collapsed="false">
      <c r="A253" s="49" t="str">
        <f aca="false">IF(B253="","","PC-"&amp;TEXT(ROW()-2,"000"))</f>
        <v/>
      </c>
      <c r="B253" s="50"/>
      <c r="C253" s="50"/>
      <c r="D253" s="51"/>
      <c r="E253" s="51"/>
      <c r="F253" s="51"/>
      <c r="G253" s="50"/>
      <c r="H253" s="50"/>
      <c r="I253" s="50"/>
      <c r="J253" s="51"/>
      <c r="K253" s="50"/>
      <c r="L253" s="50"/>
      <c r="M253" s="50"/>
      <c r="N253" s="50"/>
      <c r="O253" s="52"/>
      <c r="P253" s="50"/>
      <c r="Q253" s="52"/>
      <c r="R253" s="52"/>
      <c r="S253" s="49" t="str">
        <f aca="false">IF(B253="","",IF(OR(O253="",R253=""),"—",IF(O253&lt;=R253,"⚠ RÉAPPRO","OK")))</f>
        <v/>
      </c>
      <c r="T253" s="50"/>
      <c r="U253" s="50"/>
      <c r="V253" s="50"/>
      <c r="W253" s="50"/>
      <c r="X253" s="50"/>
      <c r="Y253" s="53" t="str">
        <f aca="false">IF(B253="","",IF(X253="","—",IF(X253="Non classé","Non classé",IFERROR(INDEX(RefH_Classe,MATCH(TRIM(LEFT(X253,FIND(",",X253&amp;",")-1)),RefH_Code,0)),"Code H inconnu"))))</f>
        <v/>
      </c>
      <c r="Z253" s="50"/>
      <c r="AA253" s="50"/>
      <c r="AB253" s="51"/>
      <c r="AC253" s="51"/>
      <c r="AD253" s="51"/>
      <c r="AE253" s="51"/>
      <c r="AF253" s="50"/>
      <c r="AG253" s="51"/>
      <c r="AH253" s="54"/>
      <c r="AI253" s="51"/>
      <c r="AJ253" s="55" t="str">
        <f aca="false">IF(AH253="","",EDATE(AH253,60))</f>
        <v/>
      </c>
      <c r="AK253" s="49" t="str">
        <f aca="true">IF(B253="","",IF(OR(AG253="Non",AH253=""),"FDS ABSENTE",IF(TODAY()&gt;=EDATE(AH253,60),"EXPIRÉE",IF(TODAY()&gt;=EDATE(AH253,54),"À RENOUVELER","CONFORME"))))</f>
        <v/>
      </c>
      <c r="AL253" s="50"/>
      <c r="AM253" s="54"/>
      <c r="AN253" s="54"/>
      <c r="AO253" s="50"/>
      <c r="AP253" s="50"/>
      <c r="AQ253" s="50"/>
      <c r="AR253" s="50"/>
      <c r="AS253" s="50"/>
      <c r="AT253" s="50"/>
      <c r="AU253" s="50"/>
      <c r="AV253" s="50"/>
      <c r="AW253" s="52"/>
      <c r="AX253" s="52"/>
      <c r="AY253" s="56" t="str">
        <f aca="false">IF(OR(AW253="",AX253=""),"",AW253*AX253)</f>
        <v/>
      </c>
      <c r="AZ253" s="52"/>
      <c r="BA253" s="56" t="str">
        <f aca="false">IF(AY253="","",IF(AZ253="",AY253,ROUNDUP(AY253/AZ253,0)))</f>
        <v/>
      </c>
      <c r="BB253" s="49" t="str">
        <f aca="false">IF(BA253="","",IF(BA253&gt;=15,"P1 – Critique",IF(BA253&gt;=8,"P2 – Élevée",IF(BA253&gt;=4,"P3 – Modérée","P4 – Faible"))))</f>
        <v/>
      </c>
      <c r="BC253" s="50"/>
      <c r="BD253" s="50"/>
      <c r="BE253" s="54"/>
      <c r="BF253" s="57"/>
      <c r="BG253" s="50"/>
      <c r="BH253" s="54"/>
      <c r="BI253" s="54"/>
      <c r="BJ253" s="50"/>
      <c r="BK253" s="50"/>
    </row>
    <row r="254" customFormat="false" ht="15" hidden="false" customHeight="false" outlineLevel="0" collapsed="false">
      <c r="A254" s="49" t="str">
        <f aca="false">IF(B254="","","PC-"&amp;TEXT(ROW()-2,"000"))</f>
        <v/>
      </c>
      <c r="B254" s="50"/>
      <c r="C254" s="50"/>
      <c r="D254" s="51"/>
      <c r="E254" s="51"/>
      <c r="F254" s="51"/>
      <c r="G254" s="50"/>
      <c r="H254" s="50"/>
      <c r="I254" s="50"/>
      <c r="J254" s="51"/>
      <c r="K254" s="50"/>
      <c r="L254" s="50"/>
      <c r="M254" s="50"/>
      <c r="N254" s="50"/>
      <c r="O254" s="52"/>
      <c r="P254" s="50"/>
      <c r="Q254" s="52"/>
      <c r="R254" s="52"/>
      <c r="S254" s="49" t="str">
        <f aca="false">IF(B254="","",IF(OR(O254="",R254=""),"—",IF(O254&lt;=R254,"⚠ RÉAPPRO","OK")))</f>
        <v/>
      </c>
      <c r="T254" s="50"/>
      <c r="U254" s="50"/>
      <c r="V254" s="50"/>
      <c r="W254" s="50"/>
      <c r="X254" s="50"/>
      <c r="Y254" s="53" t="str">
        <f aca="false">IF(B254="","",IF(X254="","—",IF(X254="Non classé","Non classé",IFERROR(INDEX(RefH_Classe,MATCH(TRIM(LEFT(X254,FIND(",",X254&amp;",")-1)),RefH_Code,0)),"Code H inconnu"))))</f>
        <v/>
      </c>
      <c r="Z254" s="50"/>
      <c r="AA254" s="50"/>
      <c r="AB254" s="51"/>
      <c r="AC254" s="51"/>
      <c r="AD254" s="51"/>
      <c r="AE254" s="51"/>
      <c r="AF254" s="50"/>
      <c r="AG254" s="51"/>
      <c r="AH254" s="54"/>
      <c r="AI254" s="51"/>
      <c r="AJ254" s="55" t="str">
        <f aca="false">IF(AH254="","",EDATE(AH254,60))</f>
        <v/>
      </c>
      <c r="AK254" s="49" t="str">
        <f aca="true">IF(B254="","",IF(OR(AG254="Non",AH254=""),"FDS ABSENTE",IF(TODAY()&gt;=EDATE(AH254,60),"EXPIRÉE",IF(TODAY()&gt;=EDATE(AH254,54),"À RENOUVELER","CONFORME"))))</f>
        <v/>
      </c>
      <c r="AL254" s="50"/>
      <c r="AM254" s="54"/>
      <c r="AN254" s="54"/>
      <c r="AO254" s="50"/>
      <c r="AP254" s="50"/>
      <c r="AQ254" s="50"/>
      <c r="AR254" s="50"/>
      <c r="AS254" s="50"/>
      <c r="AT254" s="50"/>
      <c r="AU254" s="50"/>
      <c r="AV254" s="50"/>
      <c r="AW254" s="52"/>
      <c r="AX254" s="52"/>
      <c r="AY254" s="56" t="str">
        <f aca="false">IF(OR(AW254="",AX254=""),"",AW254*AX254)</f>
        <v/>
      </c>
      <c r="AZ254" s="52"/>
      <c r="BA254" s="56" t="str">
        <f aca="false">IF(AY254="","",IF(AZ254="",AY254,ROUNDUP(AY254/AZ254,0)))</f>
        <v/>
      </c>
      <c r="BB254" s="49" t="str">
        <f aca="false">IF(BA254="","",IF(BA254&gt;=15,"P1 – Critique",IF(BA254&gt;=8,"P2 – Élevée",IF(BA254&gt;=4,"P3 – Modérée","P4 – Faible"))))</f>
        <v/>
      </c>
      <c r="BC254" s="50"/>
      <c r="BD254" s="50"/>
      <c r="BE254" s="54"/>
      <c r="BF254" s="57"/>
      <c r="BG254" s="50"/>
      <c r="BH254" s="54"/>
      <c r="BI254" s="54"/>
      <c r="BJ254" s="50"/>
      <c r="BK254" s="50"/>
    </row>
    <row r="255" customFormat="false" ht="15" hidden="false" customHeight="false" outlineLevel="0" collapsed="false">
      <c r="A255" s="49" t="str">
        <f aca="false">IF(B255="","","PC-"&amp;TEXT(ROW()-2,"000"))</f>
        <v/>
      </c>
      <c r="B255" s="50"/>
      <c r="C255" s="50"/>
      <c r="D255" s="51"/>
      <c r="E255" s="51"/>
      <c r="F255" s="51"/>
      <c r="G255" s="50"/>
      <c r="H255" s="50"/>
      <c r="I255" s="50"/>
      <c r="J255" s="51"/>
      <c r="K255" s="50"/>
      <c r="L255" s="50"/>
      <c r="M255" s="50"/>
      <c r="N255" s="50"/>
      <c r="O255" s="52"/>
      <c r="P255" s="50"/>
      <c r="Q255" s="52"/>
      <c r="R255" s="52"/>
      <c r="S255" s="49" t="str">
        <f aca="false">IF(B255="","",IF(OR(O255="",R255=""),"—",IF(O255&lt;=R255,"⚠ RÉAPPRO","OK")))</f>
        <v/>
      </c>
      <c r="T255" s="50"/>
      <c r="U255" s="50"/>
      <c r="V255" s="50"/>
      <c r="W255" s="50"/>
      <c r="X255" s="50"/>
      <c r="Y255" s="53" t="str">
        <f aca="false">IF(B255="","",IF(X255="","—",IF(X255="Non classé","Non classé",IFERROR(INDEX(RefH_Classe,MATCH(TRIM(LEFT(X255,FIND(",",X255&amp;",")-1)),RefH_Code,0)),"Code H inconnu"))))</f>
        <v/>
      </c>
      <c r="Z255" s="50"/>
      <c r="AA255" s="50"/>
      <c r="AB255" s="51"/>
      <c r="AC255" s="51"/>
      <c r="AD255" s="51"/>
      <c r="AE255" s="51"/>
      <c r="AF255" s="50"/>
      <c r="AG255" s="51"/>
      <c r="AH255" s="54"/>
      <c r="AI255" s="51"/>
      <c r="AJ255" s="55" t="str">
        <f aca="false">IF(AH255="","",EDATE(AH255,60))</f>
        <v/>
      </c>
      <c r="AK255" s="49" t="str">
        <f aca="true">IF(B255="","",IF(OR(AG255="Non",AH255=""),"FDS ABSENTE",IF(TODAY()&gt;=EDATE(AH255,60),"EXPIRÉE",IF(TODAY()&gt;=EDATE(AH255,54),"À RENOUVELER","CONFORME"))))</f>
        <v/>
      </c>
      <c r="AL255" s="50"/>
      <c r="AM255" s="54"/>
      <c r="AN255" s="54"/>
      <c r="AO255" s="50"/>
      <c r="AP255" s="50"/>
      <c r="AQ255" s="50"/>
      <c r="AR255" s="50"/>
      <c r="AS255" s="50"/>
      <c r="AT255" s="50"/>
      <c r="AU255" s="50"/>
      <c r="AV255" s="50"/>
      <c r="AW255" s="52"/>
      <c r="AX255" s="52"/>
      <c r="AY255" s="56" t="str">
        <f aca="false">IF(OR(AW255="",AX255=""),"",AW255*AX255)</f>
        <v/>
      </c>
      <c r="AZ255" s="52"/>
      <c r="BA255" s="56" t="str">
        <f aca="false">IF(AY255="","",IF(AZ255="",AY255,ROUNDUP(AY255/AZ255,0)))</f>
        <v/>
      </c>
      <c r="BB255" s="49" t="str">
        <f aca="false">IF(BA255="","",IF(BA255&gt;=15,"P1 – Critique",IF(BA255&gt;=8,"P2 – Élevée",IF(BA255&gt;=4,"P3 – Modérée","P4 – Faible"))))</f>
        <v/>
      </c>
      <c r="BC255" s="50"/>
      <c r="BD255" s="50"/>
      <c r="BE255" s="54"/>
      <c r="BF255" s="57"/>
      <c r="BG255" s="50"/>
      <c r="BH255" s="54"/>
      <c r="BI255" s="54"/>
      <c r="BJ255" s="50"/>
      <c r="BK255" s="50"/>
    </row>
    <row r="256" customFormat="false" ht="15" hidden="false" customHeight="false" outlineLevel="0" collapsed="false">
      <c r="A256" s="49" t="str">
        <f aca="false">IF(B256="","","PC-"&amp;TEXT(ROW()-2,"000"))</f>
        <v/>
      </c>
      <c r="B256" s="50"/>
      <c r="C256" s="50"/>
      <c r="D256" s="51"/>
      <c r="E256" s="51"/>
      <c r="F256" s="51"/>
      <c r="G256" s="50"/>
      <c r="H256" s="50"/>
      <c r="I256" s="50"/>
      <c r="J256" s="51"/>
      <c r="K256" s="50"/>
      <c r="L256" s="50"/>
      <c r="M256" s="50"/>
      <c r="N256" s="50"/>
      <c r="O256" s="52"/>
      <c r="P256" s="50"/>
      <c r="Q256" s="52"/>
      <c r="R256" s="52"/>
      <c r="S256" s="49" t="str">
        <f aca="false">IF(B256="","",IF(OR(O256="",R256=""),"—",IF(O256&lt;=R256,"⚠ RÉAPPRO","OK")))</f>
        <v/>
      </c>
      <c r="T256" s="50"/>
      <c r="U256" s="50"/>
      <c r="V256" s="50"/>
      <c r="W256" s="50"/>
      <c r="X256" s="50"/>
      <c r="Y256" s="53" t="str">
        <f aca="false">IF(B256="","",IF(X256="","—",IF(X256="Non classé","Non classé",IFERROR(INDEX(RefH_Classe,MATCH(TRIM(LEFT(X256,FIND(",",X256&amp;",")-1)),RefH_Code,0)),"Code H inconnu"))))</f>
        <v/>
      </c>
      <c r="Z256" s="50"/>
      <c r="AA256" s="50"/>
      <c r="AB256" s="51"/>
      <c r="AC256" s="51"/>
      <c r="AD256" s="51"/>
      <c r="AE256" s="51"/>
      <c r="AF256" s="50"/>
      <c r="AG256" s="51"/>
      <c r="AH256" s="54"/>
      <c r="AI256" s="51"/>
      <c r="AJ256" s="55" t="str">
        <f aca="false">IF(AH256="","",EDATE(AH256,60))</f>
        <v/>
      </c>
      <c r="AK256" s="49" t="str">
        <f aca="true">IF(B256="","",IF(OR(AG256="Non",AH256=""),"FDS ABSENTE",IF(TODAY()&gt;=EDATE(AH256,60),"EXPIRÉE",IF(TODAY()&gt;=EDATE(AH256,54),"À RENOUVELER","CONFORME"))))</f>
        <v/>
      </c>
      <c r="AL256" s="50"/>
      <c r="AM256" s="54"/>
      <c r="AN256" s="54"/>
      <c r="AO256" s="50"/>
      <c r="AP256" s="50"/>
      <c r="AQ256" s="50"/>
      <c r="AR256" s="50"/>
      <c r="AS256" s="50"/>
      <c r="AT256" s="50"/>
      <c r="AU256" s="50"/>
      <c r="AV256" s="50"/>
      <c r="AW256" s="52"/>
      <c r="AX256" s="52"/>
      <c r="AY256" s="56" t="str">
        <f aca="false">IF(OR(AW256="",AX256=""),"",AW256*AX256)</f>
        <v/>
      </c>
      <c r="AZ256" s="52"/>
      <c r="BA256" s="56" t="str">
        <f aca="false">IF(AY256="","",IF(AZ256="",AY256,ROUNDUP(AY256/AZ256,0)))</f>
        <v/>
      </c>
      <c r="BB256" s="49" t="str">
        <f aca="false">IF(BA256="","",IF(BA256&gt;=15,"P1 – Critique",IF(BA256&gt;=8,"P2 – Élevée",IF(BA256&gt;=4,"P3 – Modérée","P4 – Faible"))))</f>
        <v/>
      </c>
      <c r="BC256" s="50"/>
      <c r="BD256" s="50"/>
      <c r="BE256" s="54"/>
      <c r="BF256" s="57"/>
      <c r="BG256" s="50"/>
      <c r="BH256" s="54"/>
      <c r="BI256" s="54"/>
      <c r="BJ256" s="50"/>
      <c r="BK256" s="50"/>
    </row>
    <row r="257" customFormat="false" ht="15" hidden="false" customHeight="false" outlineLevel="0" collapsed="false">
      <c r="A257" s="49" t="str">
        <f aca="false">IF(B257="","","PC-"&amp;TEXT(ROW()-2,"000"))</f>
        <v/>
      </c>
      <c r="B257" s="50"/>
      <c r="C257" s="50"/>
      <c r="D257" s="51"/>
      <c r="E257" s="51"/>
      <c r="F257" s="51"/>
      <c r="G257" s="50"/>
      <c r="H257" s="50"/>
      <c r="I257" s="50"/>
      <c r="J257" s="51"/>
      <c r="K257" s="50"/>
      <c r="L257" s="50"/>
      <c r="M257" s="50"/>
      <c r="N257" s="50"/>
      <c r="O257" s="52"/>
      <c r="P257" s="50"/>
      <c r="Q257" s="52"/>
      <c r="R257" s="52"/>
      <c r="S257" s="49" t="str">
        <f aca="false">IF(B257="","",IF(OR(O257="",R257=""),"—",IF(O257&lt;=R257,"⚠ RÉAPPRO","OK")))</f>
        <v/>
      </c>
      <c r="T257" s="50"/>
      <c r="U257" s="50"/>
      <c r="V257" s="50"/>
      <c r="W257" s="50"/>
      <c r="X257" s="50"/>
      <c r="Y257" s="53" t="str">
        <f aca="false">IF(B257="","",IF(X257="","—",IF(X257="Non classé","Non classé",IFERROR(INDEX(RefH_Classe,MATCH(TRIM(LEFT(X257,FIND(",",X257&amp;",")-1)),RefH_Code,0)),"Code H inconnu"))))</f>
        <v/>
      </c>
      <c r="Z257" s="50"/>
      <c r="AA257" s="50"/>
      <c r="AB257" s="51"/>
      <c r="AC257" s="51"/>
      <c r="AD257" s="51"/>
      <c r="AE257" s="51"/>
      <c r="AF257" s="50"/>
      <c r="AG257" s="51"/>
      <c r="AH257" s="54"/>
      <c r="AI257" s="51"/>
      <c r="AJ257" s="55" t="str">
        <f aca="false">IF(AH257="","",EDATE(AH257,60))</f>
        <v/>
      </c>
      <c r="AK257" s="49" t="str">
        <f aca="true">IF(B257="","",IF(OR(AG257="Non",AH257=""),"FDS ABSENTE",IF(TODAY()&gt;=EDATE(AH257,60),"EXPIRÉE",IF(TODAY()&gt;=EDATE(AH257,54),"À RENOUVELER","CONFORME"))))</f>
        <v/>
      </c>
      <c r="AL257" s="50"/>
      <c r="AM257" s="54"/>
      <c r="AN257" s="54"/>
      <c r="AO257" s="50"/>
      <c r="AP257" s="50"/>
      <c r="AQ257" s="50"/>
      <c r="AR257" s="50"/>
      <c r="AS257" s="50"/>
      <c r="AT257" s="50"/>
      <c r="AU257" s="50"/>
      <c r="AV257" s="50"/>
      <c r="AW257" s="52"/>
      <c r="AX257" s="52"/>
      <c r="AY257" s="56" t="str">
        <f aca="false">IF(OR(AW257="",AX257=""),"",AW257*AX257)</f>
        <v/>
      </c>
      <c r="AZ257" s="52"/>
      <c r="BA257" s="56" t="str">
        <f aca="false">IF(AY257="","",IF(AZ257="",AY257,ROUNDUP(AY257/AZ257,0)))</f>
        <v/>
      </c>
      <c r="BB257" s="49" t="str">
        <f aca="false">IF(BA257="","",IF(BA257&gt;=15,"P1 – Critique",IF(BA257&gt;=8,"P2 – Élevée",IF(BA257&gt;=4,"P3 – Modérée","P4 – Faible"))))</f>
        <v/>
      </c>
      <c r="BC257" s="50"/>
      <c r="BD257" s="50"/>
      <c r="BE257" s="54"/>
      <c r="BF257" s="57"/>
      <c r="BG257" s="50"/>
      <c r="BH257" s="54"/>
      <c r="BI257" s="54"/>
      <c r="BJ257" s="50"/>
      <c r="BK257" s="50"/>
    </row>
    <row r="258" customFormat="false" ht="15" hidden="false" customHeight="false" outlineLevel="0" collapsed="false">
      <c r="A258" s="49" t="str">
        <f aca="false">IF(B258="","","PC-"&amp;TEXT(ROW()-2,"000"))</f>
        <v/>
      </c>
      <c r="B258" s="50"/>
      <c r="C258" s="50"/>
      <c r="D258" s="51"/>
      <c r="E258" s="51"/>
      <c r="F258" s="51"/>
      <c r="G258" s="50"/>
      <c r="H258" s="50"/>
      <c r="I258" s="50"/>
      <c r="J258" s="51"/>
      <c r="K258" s="50"/>
      <c r="L258" s="50"/>
      <c r="M258" s="50"/>
      <c r="N258" s="50"/>
      <c r="O258" s="52"/>
      <c r="P258" s="50"/>
      <c r="Q258" s="52"/>
      <c r="R258" s="52"/>
      <c r="S258" s="49" t="str">
        <f aca="false">IF(B258="","",IF(OR(O258="",R258=""),"—",IF(O258&lt;=R258,"⚠ RÉAPPRO","OK")))</f>
        <v/>
      </c>
      <c r="T258" s="50"/>
      <c r="U258" s="50"/>
      <c r="V258" s="50"/>
      <c r="W258" s="50"/>
      <c r="X258" s="50"/>
      <c r="Y258" s="53" t="str">
        <f aca="false">IF(B258="","",IF(X258="","—",IF(X258="Non classé","Non classé",IFERROR(INDEX(RefH_Classe,MATCH(TRIM(LEFT(X258,FIND(",",X258&amp;",")-1)),RefH_Code,0)),"Code H inconnu"))))</f>
        <v/>
      </c>
      <c r="Z258" s="50"/>
      <c r="AA258" s="50"/>
      <c r="AB258" s="51"/>
      <c r="AC258" s="51"/>
      <c r="AD258" s="51"/>
      <c r="AE258" s="51"/>
      <c r="AF258" s="50"/>
      <c r="AG258" s="51"/>
      <c r="AH258" s="54"/>
      <c r="AI258" s="51"/>
      <c r="AJ258" s="55" t="str">
        <f aca="false">IF(AH258="","",EDATE(AH258,60))</f>
        <v/>
      </c>
      <c r="AK258" s="49" t="str">
        <f aca="true">IF(B258="","",IF(OR(AG258="Non",AH258=""),"FDS ABSENTE",IF(TODAY()&gt;=EDATE(AH258,60),"EXPIRÉE",IF(TODAY()&gt;=EDATE(AH258,54),"À RENOUVELER","CONFORME"))))</f>
        <v/>
      </c>
      <c r="AL258" s="50"/>
      <c r="AM258" s="54"/>
      <c r="AN258" s="54"/>
      <c r="AO258" s="50"/>
      <c r="AP258" s="50"/>
      <c r="AQ258" s="50"/>
      <c r="AR258" s="50"/>
      <c r="AS258" s="50"/>
      <c r="AT258" s="50"/>
      <c r="AU258" s="50"/>
      <c r="AV258" s="50"/>
      <c r="AW258" s="52"/>
      <c r="AX258" s="52"/>
      <c r="AY258" s="56" t="str">
        <f aca="false">IF(OR(AW258="",AX258=""),"",AW258*AX258)</f>
        <v/>
      </c>
      <c r="AZ258" s="52"/>
      <c r="BA258" s="56" t="str">
        <f aca="false">IF(AY258="","",IF(AZ258="",AY258,ROUNDUP(AY258/AZ258,0)))</f>
        <v/>
      </c>
      <c r="BB258" s="49" t="str">
        <f aca="false">IF(BA258="","",IF(BA258&gt;=15,"P1 – Critique",IF(BA258&gt;=8,"P2 – Élevée",IF(BA258&gt;=4,"P3 – Modérée","P4 – Faible"))))</f>
        <v/>
      </c>
      <c r="BC258" s="50"/>
      <c r="BD258" s="50"/>
      <c r="BE258" s="54"/>
      <c r="BF258" s="57"/>
      <c r="BG258" s="50"/>
      <c r="BH258" s="54"/>
      <c r="BI258" s="54"/>
      <c r="BJ258" s="50"/>
      <c r="BK258" s="50"/>
    </row>
    <row r="259" customFormat="false" ht="15" hidden="false" customHeight="false" outlineLevel="0" collapsed="false">
      <c r="A259" s="49" t="str">
        <f aca="false">IF(B259="","","PC-"&amp;TEXT(ROW()-2,"000"))</f>
        <v/>
      </c>
      <c r="B259" s="50"/>
      <c r="C259" s="50"/>
      <c r="D259" s="51"/>
      <c r="E259" s="51"/>
      <c r="F259" s="51"/>
      <c r="G259" s="50"/>
      <c r="H259" s="50"/>
      <c r="I259" s="50"/>
      <c r="J259" s="51"/>
      <c r="K259" s="50"/>
      <c r="L259" s="50"/>
      <c r="M259" s="50"/>
      <c r="N259" s="50"/>
      <c r="O259" s="52"/>
      <c r="P259" s="50"/>
      <c r="Q259" s="52"/>
      <c r="R259" s="52"/>
      <c r="S259" s="49" t="str">
        <f aca="false">IF(B259="","",IF(OR(O259="",R259=""),"—",IF(O259&lt;=R259,"⚠ RÉAPPRO","OK")))</f>
        <v/>
      </c>
      <c r="T259" s="50"/>
      <c r="U259" s="50"/>
      <c r="V259" s="50"/>
      <c r="W259" s="50"/>
      <c r="X259" s="50"/>
      <c r="Y259" s="53" t="str">
        <f aca="false">IF(B259="","",IF(X259="","—",IF(X259="Non classé","Non classé",IFERROR(INDEX(RefH_Classe,MATCH(TRIM(LEFT(X259,FIND(",",X259&amp;",")-1)),RefH_Code,0)),"Code H inconnu"))))</f>
        <v/>
      </c>
      <c r="Z259" s="50"/>
      <c r="AA259" s="50"/>
      <c r="AB259" s="51"/>
      <c r="AC259" s="51"/>
      <c r="AD259" s="51"/>
      <c r="AE259" s="51"/>
      <c r="AF259" s="50"/>
      <c r="AG259" s="51"/>
      <c r="AH259" s="54"/>
      <c r="AI259" s="51"/>
      <c r="AJ259" s="55" t="str">
        <f aca="false">IF(AH259="","",EDATE(AH259,60))</f>
        <v/>
      </c>
      <c r="AK259" s="49" t="str">
        <f aca="true">IF(B259="","",IF(OR(AG259="Non",AH259=""),"FDS ABSENTE",IF(TODAY()&gt;=EDATE(AH259,60),"EXPIRÉE",IF(TODAY()&gt;=EDATE(AH259,54),"À RENOUVELER","CONFORME"))))</f>
        <v/>
      </c>
      <c r="AL259" s="50"/>
      <c r="AM259" s="54"/>
      <c r="AN259" s="54"/>
      <c r="AO259" s="50"/>
      <c r="AP259" s="50"/>
      <c r="AQ259" s="50"/>
      <c r="AR259" s="50"/>
      <c r="AS259" s="50"/>
      <c r="AT259" s="50"/>
      <c r="AU259" s="50"/>
      <c r="AV259" s="50"/>
      <c r="AW259" s="52"/>
      <c r="AX259" s="52"/>
      <c r="AY259" s="56" t="str">
        <f aca="false">IF(OR(AW259="",AX259=""),"",AW259*AX259)</f>
        <v/>
      </c>
      <c r="AZ259" s="52"/>
      <c r="BA259" s="56" t="str">
        <f aca="false">IF(AY259="","",IF(AZ259="",AY259,ROUNDUP(AY259/AZ259,0)))</f>
        <v/>
      </c>
      <c r="BB259" s="49" t="str">
        <f aca="false">IF(BA259="","",IF(BA259&gt;=15,"P1 – Critique",IF(BA259&gt;=8,"P2 – Élevée",IF(BA259&gt;=4,"P3 – Modérée","P4 – Faible"))))</f>
        <v/>
      </c>
      <c r="BC259" s="50"/>
      <c r="BD259" s="50"/>
      <c r="BE259" s="54"/>
      <c r="BF259" s="57"/>
      <c r="BG259" s="50"/>
      <c r="BH259" s="54"/>
      <c r="BI259" s="54"/>
      <c r="BJ259" s="50"/>
      <c r="BK259" s="50"/>
    </row>
    <row r="260" customFormat="false" ht="15" hidden="false" customHeight="false" outlineLevel="0" collapsed="false">
      <c r="A260" s="49" t="str">
        <f aca="false">IF(B260="","","PC-"&amp;TEXT(ROW()-2,"000"))</f>
        <v/>
      </c>
      <c r="B260" s="50"/>
      <c r="C260" s="50"/>
      <c r="D260" s="51"/>
      <c r="E260" s="51"/>
      <c r="F260" s="51"/>
      <c r="G260" s="50"/>
      <c r="H260" s="50"/>
      <c r="I260" s="50"/>
      <c r="J260" s="51"/>
      <c r="K260" s="50"/>
      <c r="L260" s="50"/>
      <c r="M260" s="50"/>
      <c r="N260" s="50"/>
      <c r="O260" s="52"/>
      <c r="P260" s="50"/>
      <c r="Q260" s="52"/>
      <c r="R260" s="52"/>
      <c r="S260" s="49" t="str">
        <f aca="false">IF(B260="","",IF(OR(O260="",R260=""),"—",IF(O260&lt;=R260,"⚠ RÉAPPRO","OK")))</f>
        <v/>
      </c>
      <c r="T260" s="50"/>
      <c r="U260" s="50"/>
      <c r="V260" s="50"/>
      <c r="W260" s="50"/>
      <c r="X260" s="50"/>
      <c r="Y260" s="53" t="str">
        <f aca="false">IF(B260="","",IF(X260="","—",IF(X260="Non classé","Non classé",IFERROR(INDEX(RefH_Classe,MATCH(TRIM(LEFT(X260,FIND(",",X260&amp;",")-1)),RefH_Code,0)),"Code H inconnu"))))</f>
        <v/>
      </c>
      <c r="Z260" s="50"/>
      <c r="AA260" s="50"/>
      <c r="AB260" s="51"/>
      <c r="AC260" s="51"/>
      <c r="AD260" s="51"/>
      <c r="AE260" s="51"/>
      <c r="AF260" s="50"/>
      <c r="AG260" s="51"/>
      <c r="AH260" s="54"/>
      <c r="AI260" s="51"/>
      <c r="AJ260" s="55" t="str">
        <f aca="false">IF(AH260="","",EDATE(AH260,60))</f>
        <v/>
      </c>
      <c r="AK260" s="49" t="str">
        <f aca="true">IF(B260="","",IF(OR(AG260="Non",AH260=""),"FDS ABSENTE",IF(TODAY()&gt;=EDATE(AH260,60),"EXPIRÉE",IF(TODAY()&gt;=EDATE(AH260,54),"À RENOUVELER","CONFORME"))))</f>
        <v/>
      </c>
      <c r="AL260" s="50"/>
      <c r="AM260" s="54"/>
      <c r="AN260" s="54"/>
      <c r="AO260" s="50"/>
      <c r="AP260" s="50"/>
      <c r="AQ260" s="50"/>
      <c r="AR260" s="50"/>
      <c r="AS260" s="50"/>
      <c r="AT260" s="50"/>
      <c r="AU260" s="50"/>
      <c r="AV260" s="50"/>
      <c r="AW260" s="52"/>
      <c r="AX260" s="52"/>
      <c r="AY260" s="56" t="str">
        <f aca="false">IF(OR(AW260="",AX260=""),"",AW260*AX260)</f>
        <v/>
      </c>
      <c r="AZ260" s="52"/>
      <c r="BA260" s="56" t="str">
        <f aca="false">IF(AY260="","",IF(AZ260="",AY260,ROUNDUP(AY260/AZ260,0)))</f>
        <v/>
      </c>
      <c r="BB260" s="49" t="str">
        <f aca="false">IF(BA260="","",IF(BA260&gt;=15,"P1 – Critique",IF(BA260&gt;=8,"P2 – Élevée",IF(BA260&gt;=4,"P3 – Modérée","P4 – Faible"))))</f>
        <v/>
      </c>
      <c r="BC260" s="50"/>
      <c r="BD260" s="50"/>
      <c r="BE260" s="54"/>
      <c r="BF260" s="57"/>
      <c r="BG260" s="50"/>
      <c r="BH260" s="54"/>
      <c r="BI260" s="54"/>
      <c r="BJ260" s="50"/>
      <c r="BK260" s="50"/>
    </row>
    <row r="261" customFormat="false" ht="15" hidden="false" customHeight="false" outlineLevel="0" collapsed="false">
      <c r="A261" s="49" t="str">
        <f aca="false">IF(B261="","","PC-"&amp;TEXT(ROW()-2,"000"))</f>
        <v/>
      </c>
      <c r="B261" s="50"/>
      <c r="C261" s="50"/>
      <c r="D261" s="51"/>
      <c r="E261" s="51"/>
      <c r="F261" s="51"/>
      <c r="G261" s="50"/>
      <c r="H261" s="50"/>
      <c r="I261" s="50"/>
      <c r="J261" s="51"/>
      <c r="K261" s="50"/>
      <c r="L261" s="50"/>
      <c r="M261" s="50"/>
      <c r="N261" s="50"/>
      <c r="O261" s="52"/>
      <c r="P261" s="50"/>
      <c r="Q261" s="52"/>
      <c r="R261" s="52"/>
      <c r="S261" s="49" t="str">
        <f aca="false">IF(B261="","",IF(OR(O261="",R261=""),"—",IF(O261&lt;=R261,"⚠ RÉAPPRO","OK")))</f>
        <v/>
      </c>
      <c r="T261" s="50"/>
      <c r="U261" s="50"/>
      <c r="V261" s="50"/>
      <c r="W261" s="50"/>
      <c r="X261" s="50"/>
      <c r="Y261" s="53" t="str">
        <f aca="false">IF(B261="","",IF(X261="","—",IF(X261="Non classé","Non classé",IFERROR(INDEX(RefH_Classe,MATCH(TRIM(LEFT(X261,FIND(",",X261&amp;",")-1)),RefH_Code,0)),"Code H inconnu"))))</f>
        <v/>
      </c>
      <c r="Z261" s="50"/>
      <c r="AA261" s="50"/>
      <c r="AB261" s="51"/>
      <c r="AC261" s="51"/>
      <c r="AD261" s="51"/>
      <c r="AE261" s="51"/>
      <c r="AF261" s="50"/>
      <c r="AG261" s="51"/>
      <c r="AH261" s="54"/>
      <c r="AI261" s="51"/>
      <c r="AJ261" s="55" t="str">
        <f aca="false">IF(AH261="","",EDATE(AH261,60))</f>
        <v/>
      </c>
      <c r="AK261" s="49" t="str">
        <f aca="true">IF(B261="","",IF(OR(AG261="Non",AH261=""),"FDS ABSENTE",IF(TODAY()&gt;=EDATE(AH261,60),"EXPIRÉE",IF(TODAY()&gt;=EDATE(AH261,54),"À RENOUVELER","CONFORME"))))</f>
        <v/>
      </c>
      <c r="AL261" s="50"/>
      <c r="AM261" s="54"/>
      <c r="AN261" s="54"/>
      <c r="AO261" s="50"/>
      <c r="AP261" s="50"/>
      <c r="AQ261" s="50"/>
      <c r="AR261" s="50"/>
      <c r="AS261" s="50"/>
      <c r="AT261" s="50"/>
      <c r="AU261" s="50"/>
      <c r="AV261" s="50"/>
      <c r="AW261" s="52"/>
      <c r="AX261" s="52"/>
      <c r="AY261" s="56" t="str">
        <f aca="false">IF(OR(AW261="",AX261=""),"",AW261*AX261)</f>
        <v/>
      </c>
      <c r="AZ261" s="52"/>
      <c r="BA261" s="56" t="str">
        <f aca="false">IF(AY261="","",IF(AZ261="",AY261,ROUNDUP(AY261/AZ261,0)))</f>
        <v/>
      </c>
      <c r="BB261" s="49" t="str">
        <f aca="false">IF(BA261="","",IF(BA261&gt;=15,"P1 – Critique",IF(BA261&gt;=8,"P2 – Élevée",IF(BA261&gt;=4,"P3 – Modérée","P4 – Faible"))))</f>
        <v/>
      </c>
      <c r="BC261" s="50"/>
      <c r="BD261" s="50"/>
      <c r="BE261" s="54"/>
      <c r="BF261" s="57"/>
      <c r="BG261" s="50"/>
      <c r="BH261" s="54"/>
      <c r="BI261" s="54"/>
      <c r="BJ261" s="50"/>
      <c r="BK261" s="50"/>
    </row>
    <row r="262" customFormat="false" ht="15" hidden="false" customHeight="false" outlineLevel="0" collapsed="false">
      <c r="A262" s="49" t="str">
        <f aca="false">IF(B262="","","PC-"&amp;TEXT(ROW()-2,"000"))</f>
        <v/>
      </c>
      <c r="B262" s="50"/>
      <c r="C262" s="50"/>
      <c r="D262" s="51"/>
      <c r="E262" s="51"/>
      <c r="F262" s="51"/>
      <c r="G262" s="50"/>
      <c r="H262" s="50"/>
      <c r="I262" s="50"/>
      <c r="J262" s="51"/>
      <c r="K262" s="50"/>
      <c r="L262" s="50"/>
      <c r="M262" s="50"/>
      <c r="N262" s="50"/>
      <c r="O262" s="52"/>
      <c r="P262" s="50"/>
      <c r="Q262" s="52"/>
      <c r="R262" s="52"/>
      <c r="S262" s="49" t="str">
        <f aca="false">IF(B262="","",IF(OR(O262="",R262=""),"—",IF(O262&lt;=R262,"⚠ RÉAPPRO","OK")))</f>
        <v/>
      </c>
      <c r="T262" s="50"/>
      <c r="U262" s="50"/>
      <c r="V262" s="50"/>
      <c r="W262" s="50"/>
      <c r="X262" s="50"/>
      <c r="Y262" s="53" t="str">
        <f aca="false">IF(B262="","",IF(X262="","—",IF(X262="Non classé","Non classé",IFERROR(INDEX(RefH_Classe,MATCH(TRIM(LEFT(X262,FIND(",",X262&amp;",")-1)),RefH_Code,0)),"Code H inconnu"))))</f>
        <v/>
      </c>
      <c r="Z262" s="50"/>
      <c r="AA262" s="50"/>
      <c r="AB262" s="51"/>
      <c r="AC262" s="51"/>
      <c r="AD262" s="51"/>
      <c r="AE262" s="51"/>
      <c r="AF262" s="50"/>
      <c r="AG262" s="51"/>
      <c r="AH262" s="54"/>
      <c r="AI262" s="51"/>
      <c r="AJ262" s="55" t="str">
        <f aca="false">IF(AH262="","",EDATE(AH262,60))</f>
        <v/>
      </c>
      <c r="AK262" s="49" t="str">
        <f aca="true">IF(B262="","",IF(OR(AG262="Non",AH262=""),"FDS ABSENTE",IF(TODAY()&gt;=EDATE(AH262,60),"EXPIRÉE",IF(TODAY()&gt;=EDATE(AH262,54),"À RENOUVELER","CONFORME"))))</f>
        <v/>
      </c>
      <c r="AL262" s="50"/>
      <c r="AM262" s="54"/>
      <c r="AN262" s="54"/>
      <c r="AO262" s="50"/>
      <c r="AP262" s="50"/>
      <c r="AQ262" s="50"/>
      <c r="AR262" s="50"/>
      <c r="AS262" s="50"/>
      <c r="AT262" s="50"/>
      <c r="AU262" s="50"/>
      <c r="AV262" s="50"/>
      <c r="AW262" s="52"/>
      <c r="AX262" s="52"/>
      <c r="AY262" s="56" t="str">
        <f aca="false">IF(OR(AW262="",AX262=""),"",AW262*AX262)</f>
        <v/>
      </c>
      <c r="AZ262" s="52"/>
      <c r="BA262" s="56" t="str">
        <f aca="false">IF(AY262="","",IF(AZ262="",AY262,ROUNDUP(AY262/AZ262,0)))</f>
        <v/>
      </c>
      <c r="BB262" s="49" t="str">
        <f aca="false">IF(BA262="","",IF(BA262&gt;=15,"P1 – Critique",IF(BA262&gt;=8,"P2 – Élevée",IF(BA262&gt;=4,"P3 – Modérée","P4 – Faible"))))</f>
        <v/>
      </c>
      <c r="BC262" s="50"/>
      <c r="BD262" s="50"/>
      <c r="BE262" s="54"/>
      <c r="BF262" s="57"/>
      <c r="BG262" s="50"/>
      <c r="BH262" s="54"/>
      <c r="BI262" s="54"/>
      <c r="BJ262" s="50"/>
      <c r="BK262" s="50"/>
    </row>
    <row r="263" customFormat="false" ht="15" hidden="false" customHeight="false" outlineLevel="0" collapsed="false">
      <c r="A263" s="49" t="str">
        <f aca="false">IF(B263="","","PC-"&amp;TEXT(ROW()-2,"000"))</f>
        <v/>
      </c>
      <c r="B263" s="50"/>
      <c r="C263" s="50"/>
      <c r="D263" s="51"/>
      <c r="E263" s="51"/>
      <c r="F263" s="51"/>
      <c r="G263" s="50"/>
      <c r="H263" s="50"/>
      <c r="I263" s="50"/>
      <c r="J263" s="51"/>
      <c r="K263" s="50"/>
      <c r="L263" s="50"/>
      <c r="M263" s="50"/>
      <c r="N263" s="50"/>
      <c r="O263" s="52"/>
      <c r="P263" s="50"/>
      <c r="Q263" s="52"/>
      <c r="R263" s="52"/>
      <c r="S263" s="49" t="str">
        <f aca="false">IF(B263="","",IF(OR(O263="",R263=""),"—",IF(O263&lt;=R263,"⚠ RÉAPPRO","OK")))</f>
        <v/>
      </c>
      <c r="T263" s="50"/>
      <c r="U263" s="50"/>
      <c r="V263" s="50"/>
      <c r="W263" s="50"/>
      <c r="X263" s="50"/>
      <c r="Y263" s="53" t="str">
        <f aca="false">IF(B263="","",IF(X263="","—",IF(X263="Non classé","Non classé",IFERROR(INDEX(RefH_Classe,MATCH(TRIM(LEFT(X263,FIND(",",X263&amp;",")-1)),RefH_Code,0)),"Code H inconnu"))))</f>
        <v/>
      </c>
      <c r="Z263" s="50"/>
      <c r="AA263" s="50"/>
      <c r="AB263" s="51"/>
      <c r="AC263" s="51"/>
      <c r="AD263" s="51"/>
      <c r="AE263" s="51"/>
      <c r="AF263" s="50"/>
      <c r="AG263" s="51"/>
      <c r="AH263" s="54"/>
      <c r="AI263" s="51"/>
      <c r="AJ263" s="55" t="str">
        <f aca="false">IF(AH263="","",EDATE(AH263,60))</f>
        <v/>
      </c>
      <c r="AK263" s="49" t="str">
        <f aca="true">IF(B263="","",IF(OR(AG263="Non",AH263=""),"FDS ABSENTE",IF(TODAY()&gt;=EDATE(AH263,60),"EXPIRÉE",IF(TODAY()&gt;=EDATE(AH263,54),"À RENOUVELER","CONFORME"))))</f>
        <v/>
      </c>
      <c r="AL263" s="50"/>
      <c r="AM263" s="54"/>
      <c r="AN263" s="54"/>
      <c r="AO263" s="50"/>
      <c r="AP263" s="50"/>
      <c r="AQ263" s="50"/>
      <c r="AR263" s="50"/>
      <c r="AS263" s="50"/>
      <c r="AT263" s="50"/>
      <c r="AU263" s="50"/>
      <c r="AV263" s="50"/>
      <c r="AW263" s="52"/>
      <c r="AX263" s="52"/>
      <c r="AY263" s="56" t="str">
        <f aca="false">IF(OR(AW263="",AX263=""),"",AW263*AX263)</f>
        <v/>
      </c>
      <c r="AZ263" s="52"/>
      <c r="BA263" s="56" t="str">
        <f aca="false">IF(AY263="","",IF(AZ263="",AY263,ROUNDUP(AY263/AZ263,0)))</f>
        <v/>
      </c>
      <c r="BB263" s="49" t="str">
        <f aca="false">IF(BA263="","",IF(BA263&gt;=15,"P1 – Critique",IF(BA263&gt;=8,"P2 – Élevée",IF(BA263&gt;=4,"P3 – Modérée","P4 – Faible"))))</f>
        <v/>
      </c>
      <c r="BC263" s="50"/>
      <c r="BD263" s="50"/>
      <c r="BE263" s="54"/>
      <c r="BF263" s="57"/>
      <c r="BG263" s="50"/>
      <c r="BH263" s="54"/>
      <c r="BI263" s="54"/>
      <c r="BJ263" s="50"/>
      <c r="BK263" s="50"/>
    </row>
    <row r="264" customFormat="false" ht="15" hidden="false" customHeight="false" outlineLevel="0" collapsed="false">
      <c r="A264" s="49" t="str">
        <f aca="false">IF(B264="","","PC-"&amp;TEXT(ROW()-2,"000"))</f>
        <v/>
      </c>
      <c r="B264" s="50"/>
      <c r="C264" s="50"/>
      <c r="D264" s="51"/>
      <c r="E264" s="51"/>
      <c r="F264" s="51"/>
      <c r="G264" s="50"/>
      <c r="H264" s="50"/>
      <c r="I264" s="50"/>
      <c r="J264" s="51"/>
      <c r="K264" s="50"/>
      <c r="L264" s="50"/>
      <c r="M264" s="50"/>
      <c r="N264" s="50"/>
      <c r="O264" s="52"/>
      <c r="P264" s="50"/>
      <c r="Q264" s="52"/>
      <c r="R264" s="52"/>
      <c r="S264" s="49" t="str">
        <f aca="false">IF(B264="","",IF(OR(O264="",R264=""),"—",IF(O264&lt;=R264,"⚠ RÉAPPRO","OK")))</f>
        <v/>
      </c>
      <c r="T264" s="50"/>
      <c r="U264" s="50"/>
      <c r="V264" s="50"/>
      <c r="W264" s="50"/>
      <c r="X264" s="50"/>
      <c r="Y264" s="53" t="str">
        <f aca="false">IF(B264="","",IF(X264="","—",IF(X264="Non classé","Non classé",IFERROR(INDEX(RefH_Classe,MATCH(TRIM(LEFT(X264,FIND(",",X264&amp;",")-1)),RefH_Code,0)),"Code H inconnu"))))</f>
        <v/>
      </c>
      <c r="Z264" s="50"/>
      <c r="AA264" s="50"/>
      <c r="AB264" s="51"/>
      <c r="AC264" s="51"/>
      <c r="AD264" s="51"/>
      <c r="AE264" s="51"/>
      <c r="AF264" s="50"/>
      <c r="AG264" s="51"/>
      <c r="AH264" s="54"/>
      <c r="AI264" s="51"/>
      <c r="AJ264" s="55" t="str">
        <f aca="false">IF(AH264="","",EDATE(AH264,60))</f>
        <v/>
      </c>
      <c r="AK264" s="49" t="str">
        <f aca="true">IF(B264="","",IF(OR(AG264="Non",AH264=""),"FDS ABSENTE",IF(TODAY()&gt;=EDATE(AH264,60),"EXPIRÉE",IF(TODAY()&gt;=EDATE(AH264,54),"À RENOUVELER","CONFORME"))))</f>
        <v/>
      </c>
      <c r="AL264" s="50"/>
      <c r="AM264" s="54"/>
      <c r="AN264" s="54"/>
      <c r="AO264" s="50"/>
      <c r="AP264" s="50"/>
      <c r="AQ264" s="50"/>
      <c r="AR264" s="50"/>
      <c r="AS264" s="50"/>
      <c r="AT264" s="50"/>
      <c r="AU264" s="50"/>
      <c r="AV264" s="50"/>
      <c r="AW264" s="52"/>
      <c r="AX264" s="52"/>
      <c r="AY264" s="56" t="str">
        <f aca="false">IF(OR(AW264="",AX264=""),"",AW264*AX264)</f>
        <v/>
      </c>
      <c r="AZ264" s="52"/>
      <c r="BA264" s="56" t="str">
        <f aca="false">IF(AY264="","",IF(AZ264="",AY264,ROUNDUP(AY264/AZ264,0)))</f>
        <v/>
      </c>
      <c r="BB264" s="49" t="str">
        <f aca="false">IF(BA264="","",IF(BA264&gt;=15,"P1 – Critique",IF(BA264&gt;=8,"P2 – Élevée",IF(BA264&gt;=4,"P3 – Modérée","P4 – Faible"))))</f>
        <v/>
      </c>
      <c r="BC264" s="50"/>
      <c r="BD264" s="50"/>
      <c r="BE264" s="54"/>
      <c r="BF264" s="57"/>
      <c r="BG264" s="50"/>
      <c r="BH264" s="54"/>
      <c r="BI264" s="54"/>
      <c r="BJ264" s="50"/>
      <c r="BK264" s="50"/>
    </row>
    <row r="265" customFormat="false" ht="15" hidden="false" customHeight="false" outlineLevel="0" collapsed="false">
      <c r="A265" s="49" t="str">
        <f aca="false">IF(B265="","","PC-"&amp;TEXT(ROW()-2,"000"))</f>
        <v/>
      </c>
      <c r="B265" s="50"/>
      <c r="C265" s="50"/>
      <c r="D265" s="51"/>
      <c r="E265" s="51"/>
      <c r="F265" s="51"/>
      <c r="G265" s="50"/>
      <c r="H265" s="50"/>
      <c r="I265" s="50"/>
      <c r="J265" s="51"/>
      <c r="K265" s="50"/>
      <c r="L265" s="50"/>
      <c r="M265" s="50"/>
      <c r="N265" s="50"/>
      <c r="O265" s="52"/>
      <c r="P265" s="50"/>
      <c r="Q265" s="52"/>
      <c r="R265" s="52"/>
      <c r="S265" s="49" t="str">
        <f aca="false">IF(B265="","",IF(OR(O265="",R265=""),"—",IF(O265&lt;=R265,"⚠ RÉAPPRO","OK")))</f>
        <v/>
      </c>
      <c r="T265" s="50"/>
      <c r="U265" s="50"/>
      <c r="V265" s="50"/>
      <c r="W265" s="50"/>
      <c r="X265" s="50"/>
      <c r="Y265" s="53" t="str">
        <f aca="false">IF(B265="","",IF(X265="","—",IF(X265="Non classé","Non classé",IFERROR(INDEX(RefH_Classe,MATCH(TRIM(LEFT(X265,FIND(",",X265&amp;",")-1)),RefH_Code,0)),"Code H inconnu"))))</f>
        <v/>
      </c>
      <c r="Z265" s="50"/>
      <c r="AA265" s="50"/>
      <c r="AB265" s="51"/>
      <c r="AC265" s="51"/>
      <c r="AD265" s="51"/>
      <c r="AE265" s="51"/>
      <c r="AF265" s="50"/>
      <c r="AG265" s="51"/>
      <c r="AH265" s="54"/>
      <c r="AI265" s="51"/>
      <c r="AJ265" s="55" t="str">
        <f aca="false">IF(AH265="","",EDATE(AH265,60))</f>
        <v/>
      </c>
      <c r="AK265" s="49" t="str">
        <f aca="true">IF(B265="","",IF(OR(AG265="Non",AH265=""),"FDS ABSENTE",IF(TODAY()&gt;=EDATE(AH265,60),"EXPIRÉE",IF(TODAY()&gt;=EDATE(AH265,54),"À RENOUVELER","CONFORME"))))</f>
        <v/>
      </c>
      <c r="AL265" s="50"/>
      <c r="AM265" s="54"/>
      <c r="AN265" s="54"/>
      <c r="AO265" s="50"/>
      <c r="AP265" s="50"/>
      <c r="AQ265" s="50"/>
      <c r="AR265" s="50"/>
      <c r="AS265" s="50"/>
      <c r="AT265" s="50"/>
      <c r="AU265" s="50"/>
      <c r="AV265" s="50"/>
      <c r="AW265" s="52"/>
      <c r="AX265" s="52"/>
      <c r="AY265" s="56" t="str">
        <f aca="false">IF(OR(AW265="",AX265=""),"",AW265*AX265)</f>
        <v/>
      </c>
      <c r="AZ265" s="52"/>
      <c r="BA265" s="56" t="str">
        <f aca="false">IF(AY265="","",IF(AZ265="",AY265,ROUNDUP(AY265/AZ265,0)))</f>
        <v/>
      </c>
      <c r="BB265" s="49" t="str">
        <f aca="false">IF(BA265="","",IF(BA265&gt;=15,"P1 – Critique",IF(BA265&gt;=8,"P2 – Élevée",IF(BA265&gt;=4,"P3 – Modérée","P4 – Faible"))))</f>
        <v/>
      </c>
      <c r="BC265" s="50"/>
      <c r="BD265" s="50"/>
      <c r="BE265" s="54"/>
      <c r="BF265" s="57"/>
      <c r="BG265" s="50"/>
      <c r="BH265" s="54"/>
      <c r="BI265" s="54"/>
      <c r="BJ265" s="50"/>
      <c r="BK265" s="50"/>
    </row>
    <row r="266" customFormat="false" ht="15" hidden="false" customHeight="false" outlineLevel="0" collapsed="false">
      <c r="A266" s="49" t="str">
        <f aca="false">IF(B266="","","PC-"&amp;TEXT(ROW()-2,"000"))</f>
        <v/>
      </c>
      <c r="B266" s="50"/>
      <c r="C266" s="50"/>
      <c r="D266" s="51"/>
      <c r="E266" s="51"/>
      <c r="F266" s="51"/>
      <c r="G266" s="50"/>
      <c r="H266" s="50"/>
      <c r="I266" s="50"/>
      <c r="J266" s="51"/>
      <c r="K266" s="50"/>
      <c r="L266" s="50"/>
      <c r="M266" s="50"/>
      <c r="N266" s="50"/>
      <c r="O266" s="52"/>
      <c r="P266" s="50"/>
      <c r="Q266" s="52"/>
      <c r="R266" s="52"/>
      <c r="S266" s="49" t="str">
        <f aca="false">IF(B266="","",IF(OR(O266="",R266=""),"—",IF(O266&lt;=R266,"⚠ RÉAPPRO","OK")))</f>
        <v/>
      </c>
      <c r="T266" s="50"/>
      <c r="U266" s="50"/>
      <c r="V266" s="50"/>
      <c r="W266" s="50"/>
      <c r="X266" s="50"/>
      <c r="Y266" s="53" t="str">
        <f aca="false">IF(B266="","",IF(X266="","—",IF(X266="Non classé","Non classé",IFERROR(INDEX(RefH_Classe,MATCH(TRIM(LEFT(X266,FIND(",",X266&amp;",")-1)),RefH_Code,0)),"Code H inconnu"))))</f>
        <v/>
      </c>
      <c r="Z266" s="50"/>
      <c r="AA266" s="50"/>
      <c r="AB266" s="51"/>
      <c r="AC266" s="51"/>
      <c r="AD266" s="51"/>
      <c r="AE266" s="51"/>
      <c r="AF266" s="50"/>
      <c r="AG266" s="51"/>
      <c r="AH266" s="54"/>
      <c r="AI266" s="51"/>
      <c r="AJ266" s="55" t="str">
        <f aca="false">IF(AH266="","",EDATE(AH266,60))</f>
        <v/>
      </c>
      <c r="AK266" s="49" t="str">
        <f aca="true">IF(B266="","",IF(OR(AG266="Non",AH266=""),"FDS ABSENTE",IF(TODAY()&gt;=EDATE(AH266,60),"EXPIRÉE",IF(TODAY()&gt;=EDATE(AH266,54),"À RENOUVELER","CONFORME"))))</f>
        <v/>
      </c>
      <c r="AL266" s="50"/>
      <c r="AM266" s="54"/>
      <c r="AN266" s="54"/>
      <c r="AO266" s="50"/>
      <c r="AP266" s="50"/>
      <c r="AQ266" s="50"/>
      <c r="AR266" s="50"/>
      <c r="AS266" s="50"/>
      <c r="AT266" s="50"/>
      <c r="AU266" s="50"/>
      <c r="AV266" s="50"/>
      <c r="AW266" s="52"/>
      <c r="AX266" s="52"/>
      <c r="AY266" s="56" t="str">
        <f aca="false">IF(OR(AW266="",AX266=""),"",AW266*AX266)</f>
        <v/>
      </c>
      <c r="AZ266" s="52"/>
      <c r="BA266" s="56" t="str">
        <f aca="false">IF(AY266="","",IF(AZ266="",AY266,ROUNDUP(AY266/AZ266,0)))</f>
        <v/>
      </c>
      <c r="BB266" s="49" t="str">
        <f aca="false">IF(BA266="","",IF(BA266&gt;=15,"P1 – Critique",IF(BA266&gt;=8,"P2 – Élevée",IF(BA266&gt;=4,"P3 – Modérée","P4 – Faible"))))</f>
        <v/>
      </c>
      <c r="BC266" s="50"/>
      <c r="BD266" s="50"/>
      <c r="BE266" s="54"/>
      <c r="BF266" s="57"/>
      <c r="BG266" s="50"/>
      <c r="BH266" s="54"/>
      <c r="BI266" s="54"/>
      <c r="BJ266" s="50"/>
      <c r="BK266" s="50"/>
    </row>
    <row r="267" customFormat="false" ht="15" hidden="false" customHeight="false" outlineLevel="0" collapsed="false">
      <c r="A267" s="49" t="str">
        <f aca="false">IF(B267="","","PC-"&amp;TEXT(ROW()-2,"000"))</f>
        <v/>
      </c>
      <c r="B267" s="50"/>
      <c r="C267" s="50"/>
      <c r="D267" s="51"/>
      <c r="E267" s="51"/>
      <c r="F267" s="51"/>
      <c r="G267" s="50"/>
      <c r="H267" s="50"/>
      <c r="I267" s="50"/>
      <c r="J267" s="51"/>
      <c r="K267" s="50"/>
      <c r="L267" s="50"/>
      <c r="M267" s="50"/>
      <c r="N267" s="50"/>
      <c r="O267" s="52"/>
      <c r="P267" s="50"/>
      <c r="Q267" s="52"/>
      <c r="R267" s="52"/>
      <c r="S267" s="49" t="str">
        <f aca="false">IF(B267="","",IF(OR(O267="",R267=""),"—",IF(O267&lt;=R267,"⚠ RÉAPPRO","OK")))</f>
        <v/>
      </c>
      <c r="T267" s="50"/>
      <c r="U267" s="50"/>
      <c r="V267" s="50"/>
      <c r="W267" s="50"/>
      <c r="X267" s="50"/>
      <c r="Y267" s="53" t="str">
        <f aca="false">IF(B267="","",IF(X267="","—",IF(X267="Non classé","Non classé",IFERROR(INDEX(RefH_Classe,MATCH(TRIM(LEFT(X267,FIND(",",X267&amp;",")-1)),RefH_Code,0)),"Code H inconnu"))))</f>
        <v/>
      </c>
      <c r="Z267" s="50"/>
      <c r="AA267" s="50"/>
      <c r="AB267" s="51"/>
      <c r="AC267" s="51"/>
      <c r="AD267" s="51"/>
      <c r="AE267" s="51"/>
      <c r="AF267" s="50"/>
      <c r="AG267" s="51"/>
      <c r="AH267" s="54"/>
      <c r="AI267" s="51"/>
      <c r="AJ267" s="55" t="str">
        <f aca="false">IF(AH267="","",EDATE(AH267,60))</f>
        <v/>
      </c>
      <c r="AK267" s="49" t="str">
        <f aca="true">IF(B267="","",IF(OR(AG267="Non",AH267=""),"FDS ABSENTE",IF(TODAY()&gt;=EDATE(AH267,60),"EXPIRÉE",IF(TODAY()&gt;=EDATE(AH267,54),"À RENOUVELER","CONFORME"))))</f>
        <v/>
      </c>
      <c r="AL267" s="50"/>
      <c r="AM267" s="54"/>
      <c r="AN267" s="54"/>
      <c r="AO267" s="50"/>
      <c r="AP267" s="50"/>
      <c r="AQ267" s="50"/>
      <c r="AR267" s="50"/>
      <c r="AS267" s="50"/>
      <c r="AT267" s="50"/>
      <c r="AU267" s="50"/>
      <c r="AV267" s="50"/>
      <c r="AW267" s="52"/>
      <c r="AX267" s="52"/>
      <c r="AY267" s="56" t="str">
        <f aca="false">IF(OR(AW267="",AX267=""),"",AW267*AX267)</f>
        <v/>
      </c>
      <c r="AZ267" s="52"/>
      <c r="BA267" s="56" t="str">
        <f aca="false">IF(AY267="","",IF(AZ267="",AY267,ROUNDUP(AY267/AZ267,0)))</f>
        <v/>
      </c>
      <c r="BB267" s="49" t="str">
        <f aca="false">IF(BA267="","",IF(BA267&gt;=15,"P1 – Critique",IF(BA267&gt;=8,"P2 – Élevée",IF(BA267&gt;=4,"P3 – Modérée","P4 – Faible"))))</f>
        <v/>
      </c>
      <c r="BC267" s="50"/>
      <c r="BD267" s="50"/>
      <c r="BE267" s="54"/>
      <c r="BF267" s="57"/>
      <c r="BG267" s="50"/>
      <c r="BH267" s="54"/>
      <c r="BI267" s="54"/>
      <c r="BJ267" s="50"/>
      <c r="BK267" s="50"/>
    </row>
    <row r="268" customFormat="false" ht="15" hidden="false" customHeight="false" outlineLevel="0" collapsed="false">
      <c r="A268" s="49" t="str">
        <f aca="false">IF(B268="","","PC-"&amp;TEXT(ROW()-2,"000"))</f>
        <v/>
      </c>
      <c r="B268" s="50"/>
      <c r="C268" s="50"/>
      <c r="D268" s="51"/>
      <c r="E268" s="51"/>
      <c r="F268" s="51"/>
      <c r="G268" s="50"/>
      <c r="H268" s="50"/>
      <c r="I268" s="50"/>
      <c r="J268" s="51"/>
      <c r="K268" s="50"/>
      <c r="L268" s="50"/>
      <c r="M268" s="50"/>
      <c r="N268" s="50"/>
      <c r="O268" s="52"/>
      <c r="P268" s="50"/>
      <c r="Q268" s="52"/>
      <c r="R268" s="52"/>
      <c r="S268" s="49" t="str">
        <f aca="false">IF(B268="","",IF(OR(O268="",R268=""),"—",IF(O268&lt;=R268,"⚠ RÉAPPRO","OK")))</f>
        <v/>
      </c>
      <c r="T268" s="50"/>
      <c r="U268" s="50"/>
      <c r="V268" s="50"/>
      <c r="W268" s="50"/>
      <c r="X268" s="50"/>
      <c r="Y268" s="53" t="str">
        <f aca="false">IF(B268="","",IF(X268="","—",IF(X268="Non classé","Non classé",IFERROR(INDEX(RefH_Classe,MATCH(TRIM(LEFT(X268,FIND(",",X268&amp;",")-1)),RefH_Code,0)),"Code H inconnu"))))</f>
        <v/>
      </c>
      <c r="Z268" s="50"/>
      <c r="AA268" s="50"/>
      <c r="AB268" s="51"/>
      <c r="AC268" s="51"/>
      <c r="AD268" s="51"/>
      <c r="AE268" s="51"/>
      <c r="AF268" s="50"/>
      <c r="AG268" s="51"/>
      <c r="AH268" s="54"/>
      <c r="AI268" s="51"/>
      <c r="AJ268" s="55" t="str">
        <f aca="false">IF(AH268="","",EDATE(AH268,60))</f>
        <v/>
      </c>
      <c r="AK268" s="49" t="str">
        <f aca="true">IF(B268="","",IF(OR(AG268="Non",AH268=""),"FDS ABSENTE",IF(TODAY()&gt;=EDATE(AH268,60),"EXPIRÉE",IF(TODAY()&gt;=EDATE(AH268,54),"À RENOUVELER","CONFORME"))))</f>
        <v/>
      </c>
      <c r="AL268" s="50"/>
      <c r="AM268" s="54"/>
      <c r="AN268" s="54"/>
      <c r="AO268" s="50"/>
      <c r="AP268" s="50"/>
      <c r="AQ268" s="50"/>
      <c r="AR268" s="50"/>
      <c r="AS268" s="50"/>
      <c r="AT268" s="50"/>
      <c r="AU268" s="50"/>
      <c r="AV268" s="50"/>
      <c r="AW268" s="52"/>
      <c r="AX268" s="52"/>
      <c r="AY268" s="56" t="str">
        <f aca="false">IF(OR(AW268="",AX268=""),"",AW268*AX268)</f>
        <v/>
      </c>
      <c r="AZ268" s="52"/>
      <c r="BA268" s="56" t="str">
        <f aca="false">IF(AY268="","",IF(AZ268="",AY268,ROUNDUP(AY268/AZ268,0)))</f>
        <v/>
      </c>
      <c r="BB268" s="49" t="str">
        <f aca="false">IF(BA268="","",IF(BA268&gt;=15,"P1 – Critique",IF(BA268&gt;=8,"P2 – Élevée",IF(BA268&gt;=4,"P3 – Modérée","P4 – Faible"))))</f>
        <v/>
      </c>
      <c r="BC268" s="50"/>
      <c r="BD268" s="50"/>
      <c r="BE268" s="54"/>
      <c r="BF268" s="57"/>
      <c r="BG268" s="50"/>
      <c r="BH268" s="54"/>
      <c r="BI268" s="54"/>
      <c r="BJ268" s="50"/>
      <c r="BK268" s="50"/>
    </row>
    <row r="269" customFormat="false" ht="15" hidden="false" customHeight="false" outlineLevel="0" collapsed="false">
      <c r="A269" s="49" t="str">
        <f aca="false">IF(B269="","","PC-"&amp;TEXT(ROW()-2,"000"))</f>
        <v/>
      </c>
      <c r="B269" s="50"/>
      <c r="C269" s="50"/>
      <c r="D269" s="51"/>
      <c r="E269" s="51"/>
      <c r="F269" s="51"/>
      <c r="G269" s="50"/>
      <c r="H269" s="50"/>
      <c r="I269" s="50"/>
      <c r="J269" s="51"/>
      <c r="K269" s="50"/>
      <c r="L269" s="50"/>
      <c r="M269" s="50"/>
      <c r="N269" s="50"/>
      <c r="O269" s="52"/>
      <c r="P269" s="50"/>
      <c r="Q269" s="52"/>
      <c r="R269" s="52"/>
      <c r="S269" s="49" t="str">
        <f aca="false">IF(B269="","",IF(OR(O269="",R269=""),"—",IF(O269&lt;=R269,"⚠ RÉAPPRO","OK")))</f>
        <v/>
      </c>
      <c r="T269" s="50"/>
      <c r="U269" s="50"/>
      <c r="V269" s="50"/>
      <c r="W269" s="50"/>
      <c r="X269" s="50"/>
      <c r="Y269" s="53" t="str">
        <f aca="false">IF(B269="","",IF(X269="","—",IF(X269="Non classé","Non classé",IFERROR(INDEX(RefH_Classe,MATCH(TRIM(LEFT(X269,FIND(",",X269&amp;",")-1)),RefH_Code,0)),"Code H inconnu"))))</f>
        <v/>
      </c>
      <c r="Z269" s="50"/>
      <c r="AA269" s="50"/>
      <c r="AB269" s="51"/>
      <c r="AC269" s="51"/>
      <c r="AD269" s="51"/>
      <c r="AE269" s="51"/>
      <c r="AF269" s="50"/>
      <c r="AG269" s="51"/>
      <c r="AH269" s="54"/>
      <c r="AI269" s="51"/>
      <c r="AJ269" s="55" t="str">
        <f aca="false">IF(AH269="","",EDATE(AH269,60))</f>
        <v/>
      </c>
      <c r="AK269" s="49" t="str">
        <f aca="true">IF(B269="","",IF(OR(AG269="Non",AH269=""),"FDS ABSENTE",IF(TODAY()&gt;=EDATE(AH269,60),"EXPIRÉE",IF(TODAY()&gt;=EDATE(AH269,54),"À RENOUVELER","CONFORME"))))</f>
        <v/>
      </c>
      <c r="AL269" s="50"/>
      <c r="AM269" s="54"/>
      <c r="AN269" s="54"/>
      <c r="AO269" s="50"/>
      <c r="AP269" s="50"/>
      <c r="AQ269" s="50"/>
      <c r="AR269" s="50"/>
      <c r="AS269" s="50"/>
      <c r="AT269" s="50"/>
      <c r="AU269" s="50"/>
      <c r="AV269" s="50"/>
      <c r="AW269" s="52"/>
      <c r="AX269" s="52"/>
      <c r="AY269" s="56" t="str">
        <f aca="false">IF(OR(AW269="",AX269=""),"",AW269*AX269)</f>
        <v/>
      </c>
      <c r="AZ269" s="52"/>
      <c r="BA269" s="56" t="str">
        <f aca="false">IF(AY269="","",IF(AZ269="",AY269,ROUNDUP(AY269/AZ269,0)))</f>
        <v/>
      </c>
      <c r="BB269" s="49" t="str">
        <f aca="false">IF(BA269="","",IF(BA269&gt;=15,"P1 – Critique",IF(BA269&gt;=8,"P2 – Élevée",IF(BA269&gt;=4,"P3 – Modérée","P4 – Faible"))))</f>
        <v/>
      </c>
      <c r="BC269" s="50"/>
      <c r="BD269" s="50"/>
      <c r="BE269" s="54"/>
      <c r="BF269" s="57"/>
      <c r="BG269" s="50"/>
      <c r="BH269" s="54"/>
      <c r="BI269" s="54"/>
      <c r="BJ269" s="50"/>
      <c r="BK269" s="50"/>
    </row>
    <row r="270" customFormat="false" ht="15" hidden="false" customHeight="false" outlineLevel="0" collapsed="false">
      <c r="A270" s="49" t="str">
        <f aca="false">IF(B270="","","PC-"&amp;TEXT(ROW()-2,"000"))</f>
        <v/>
      </c>
      <c r="B270" s="50"/>
      <c r="C270" s="50"/>
      <c r="D270" s="51"/>
      <c r="E270" s="51"/>
      <c r="F270" s="51"/>
      <c r="G270" s="50"/>
      <c r="H270" s="50"/>
      <c r="I270" s="50"/>
      <c r="J270" s="51"/>
      <c r="K270" s="50"/>
      <c r="L270" s="50"/>
      <c r="M270" s="50"/>
      <c r="N270" s="50"/>
      <c r="O270" s="52"/>
      <c r="P270" s="50"/>
      <c r="Q270" s="52"/>
      <c r="R270" s="52"/>
      <c r="S270" s="49" t="str">
        <f aca="false">IF(B270="","",IF(OR(O270="",R270=""),"—",IF(O270&lt;=R270,"⚠ RÉAPPRO","OK")))</f>
        <v/>
      </c>
      <c r="T270" s="50"/>
      <c r="U270" s="50"/>
      <c r="V270" s="50"/>
      <c r="W270" s="50"/>
      <c r="X270" s="50"/>
      <c r="Y270" s="53" t="str">
        <f aca="false">IF(B270="","",IF(X270="","—",IF(X270="Non classé","Non classé",IFERROR(INDEX(RefH_Classe,MATCH(TRIM(LEFT(X270,FIND(",",X270&amp;",")-1)),RefH_Code,0)),"Code H inconnu"))))</f>
        <v/>
      </c>
      <c r="Z270" s="50"/>
      <c r="AA270" s="50"/>
      <c r="AB270" s="51"/>
      <c r="AC270" s="51"/>
      <c r="AD270" s="51"/>
      <c r="AE270" s="51"/>
      <c r="AF270" s="50"/>
      <c r="AG270" s="51"/>
      <c r="AH270" s="54"/>
      <c r="AI270" s="51"/>
      <c r="AJ270" s="55" t="str">
        <f aca="false">IF(AH270="","",EDATE(AH270,60))</f>
        <v/>
      </c>
      <c r="AK270" s="49" t="str">
        <f aca="true">IF(B270="","",IF(OR(AG270="Non",AH270=""),"FDS ABSENTE",IF(TODAY()&gt;=EDATE(AH270,60),"EXPIRÉE",IF(TODAY()&gt;=EDATE(AH270,54),"À RENOUVELER","CONFORME"))))</f>
        <v/>
      </c>
      <c r="AL270" s="50"/>
      <c r="AM270" s="54"/>
      <c r="AN270" s="54"/>
      <c r="AO270" s="50"/>
      <c r="AP270" s="50"/>
      <c r="AQ270" s="50"/>
      <c r="AR270" s="50"/>
      <c r="AS270" s="50"/>
      <c r="AT270" s="50"/>
      <c r="AU270" s="50"/>
      <c r="AV270" s="50"/>
      <c r="AW270" s="52"/>
      <c r="AX270" s="52"/>
      <c r="AY270" s="56" t="str">
        <f aca="false">IF(OR(AW270="",AX270=""),"",AW270*AX270)</f>
        <v/>
      </c>
      <c r="AZ270" s="52"/>
      <c r="BA270" s="56" t="str">
        <f aca="false">IF(AY270="","",IF(AZ270="",AY270,ROUNDUP(AY270/AZ270,0)))</f>
        <v/>
      </c>
      <c r="BB270" s="49" t="str">
        <f aca="false">IF(BA270="","",IF(BA270&gt;=15,"P1 – Critique",IF(BA270&gt;=8,"P2 – Élevée",IF(BA270&gt;=4,"P3 – Modérée","P4 – Faible"))))</f>
        <v/>
      </c>
      <c r="BC270" s="50"/>
      <c r="BD270" s="50"/>
      <c r="BE270" s="54"/>
      <c r="BF270" s="57"/>
      <c r="BG270" s="50"/>
      <c r="BH270" s="54"/>
      <c r="BI270" s="54"/>
      <c r="BJ270" s="50"/>
      <c r="BK270" s="50"/>
    </row>
    <row r="271" customFormat="false" ht="15" hidden="false" customHeight="false" outlineLevel="0" collapsed="false">
      <c r="A271" s="49" t="str">
        <f aca="false">IF(B271="","","PC-"&amp;TEXT(ROW()-2,"000"))</f>
        <v/>
      </c>
      <c r="B271" s="50"/>
      <c r="C271" s="50"/>
      <c r="D271" s="51"/>
      <c r="E271" s="51"/>
      <c r="F271" s="51"/>
      <c r="G271" s="50"/>
      <c r="H271" s="50"/>
      <c r="I271" s="50"/>
      <c r="J271" s="51"/>
      <c r="K271" s="50"/>
      <c r="L271" s="50"/>
      <c r="M271" s="50"/>
      <c r="N271" s="50"/>
      <c r="O271" s="52"/>
      <c r="P271" s="50"/>
      <c r="Q271" s="52"/>
      <c r="R271" s="52"/>
      <c r="S271" s="49" t="str">
        <f aca="false">IF(B271="","",IF(OR(O271="",R271=""),"—",IF(O271&lt;=R271,"⚠ RÉAPPRO","OK")))</f>
        <v/>
      </c>
      <c r="T271" s="50"/>
      <c r="U271" s="50"/>
      <c r="V271" s="50"/>
      <c r="W271" s="50"/>
      <c r="X271" s="50"/>
      <c r="Y271" s="53" t="str">
        <f aca="false">IF(B271="","",IF(X271="","—",IF(X271="Non classé","Non classé",IFERROR(INDEX(RefH_Classe,MATCH(TRIM(LEFT(X271,FIND(",",X271&amp;",")-1)),RefH_Code,0)),"Code H inconnu"))))</f>
        <v/>
      </c>
      <c r="Z271" s="50"/>
      <c r="AA271" s="50"/>
      <c r="AB271" s="51"/>
      <c r="AC271" s="51"/>
      <c r="AD271" s="51"/>
      <c r="AE271" s="51"/>
      <c r="AF271" s="50"/>
      <c r="AG271" s="51"/>
      <c r="AH271" s="54"/>
      <c r="AI271" s="51"/>
      <c r="AJ271" s="55" t="str">
        <f aca="false">IF(AH271="","",EDATE(AH271,60))</f>
        <v/>
      </c>
      <c r="AK271" s="49" t="str">
        <f aca="true">IF(B271="","",IF(OR(AG271="Non",AH271=""),"FDS ABSENTE",IF(TODAY()&gt;=EDATE(AH271,60),"EXPIRÉE",IF(TODAY()&gt;=EDATE(AH271,54),"À RENOUVELER","CONFORME"))))</f>
        <v/>
      </c>
      <c r="AL271" s="50"/>
      <c r="AM271" s="54"/>
      <c r="AN271" s="54"/>
      <c r="AO271" s="50"/>
      <c r="AP271" s="50"/>
      <c r="AQ271" s="50"/>
      <c r="AR271" s="50"/>
      <c r="AS271" s="50"/>
      <c r="AT271" s="50"/>
      <c r="AU271" s="50"/>
      <c r="AV271" s="50"/>
      <c r="AW271" s="52"/>
      <c r="AX271" s="52"/>
      <c r="AY271" s="56" t="str">
        <f aca="false">IF(OR(AW271="",AX271=""),"",AW271*AX271)</f>
        <v/>
      </c>
      <c r="AZ271" s="52"/>
      <c r="BA271" s="56" t="str">
        <f aca="false">IF(AY271="","",IF(AZ271="",AY271,ROUNDUP(AY271/AZ271,0)))</f>
        <v/>
      </c>
      <c r="BB271" s="49" t="str">
        <f aca="false">IF(BA271="","",IF(BA271&gt;=15,"P1 – Critique",IF(BA271&gt;=8,"P2 – Élevée",IF(BA271&gt;=4,"P3 – Modérée","P4 – Faible"))))</f>
        <v/>
      </c>
      <c r="BC271" s="50"/>
      <c r="BD271" s="50"/>
      <c r="BE271" s="54"/>
      <c r="BF271" s="57"/>
      <c r="BG271" s="50"/>
      <c r="BH271" s="54"/>
      <c r="BI271" s="54"/>
      <c r="BJ271" s="50"/>
      <c r="BK271" s="50"/>
    </row>
    <row r="272" customFormat="false" ht="15" hidden="false" customHeight="false" outlineLevel="0" collapsed="false">
      <c r="A272" s="49" t="str">
        <f aca="false">IF(B272="","","PC-"&amp;TEXT(ROW()-2,"000"))</f>
        <v/>
      </c>
      <c r="B272" s="50"/>
      <c r="C272" s="50"/>
      <c r="D272" s="51"/>
      <c r="E272" s="51"/>
      <c r="F272" s="51"/>
      <c r="G272" s="50"/>
      <c r="H272" s="50"/>
      <c r="I272" s="50"/>
      <c r="J272" s="51"/>
      <c r="K272" s="50"/>
      <c r="L272" s="50"/>
      <c r="M272" s="50"/>
      <c r="N272" s="50"/>
      <c r="O272" s="52"/>
      <c r="P272" s="50"/>
      <c r="Q272" s="52"/>
      <c r="R272" s="52"/>
      <c r="S272" s="49" t="str">
        <f aca="false">IF(B272="","",IF(OR(O272="",R272=""),"—",IF(O272&lt;=R272,"⚠ RÉAPPRO","OK")))</f>
        <v/>
      </c>
      <c r="T272" s="50"/>
      <c r="U272" s="50"/>
      <c r="V272" s="50"/>
      <c r="W272" s="50"/>
      <c r="X272" s="50"/>
      <c r="Y272" s="53" t="str">
        <f aca="false">IF(B272="","",IF(X272="","—",IF(X272="Non classé","Non classé",IFERROR(INDEX(RefH_Classe,MATCH(TRIM(LEFT(X272,FIND(",",X272&amp;",")-1)),RefH_Code,0)),"Code H inconnu"))))</f>
        <v/>
      </c>
      <c r="Z272" s="50"/>
      <c r="AA272" s="50"/>
      <c r="AB272" s="51"/>
      <c r="AC272" s="51"/>
      <c r="AD272" s="51"/>
      <c r="AE272" s="51"/>
      <c r="AF272" s="50"/>
      <c r="AG272" s="51"/>
      <c r="AH272" s="54"/>
      <c r="AI272" s="51"/>
      <c r="AJ272" s="55" t="str">
        <f aca="false">IF(AH272="","",EDATE(AH272,60))</f>
        <v/>
      </c>
      <c r="AK272" s="49" t="str">
        <f aca="true">IF(B272="","",IF(OR(AG272="Non",AH272=""),"FDS ABSENTE",IF(TODAY()&gt;=EDATE(AH272,60),"EXPIRÉE",IF(TODAY()&gt;=EDATE(AH272,54),"À RENOUVELER","CONFORME"))))</f>
        <v/>
      </c>
      <c r="AL272" s="50"/>
      <c r="AM272" s="54"/>
      <c r="AN272" s="54"/>
      <c r="AO272" s="50"/>
      <c r="AP272" s="50"/>
      <c r="AQ272" s="50"/>
      <c r="AR272" s="50"/>
      <c r="AS272" s="50"/>
      <c r="AT272" s="50"/>
      <c r="AU272" s="50"/>
      <c r="AV272" s="50"/>
      <c r="AW272" s="52"/>
      <c r="AX272" s="52"/>
      <c r="AY272" s="56" t="str">
        <f aca="false">IF(OR(AW272="",AX272=""),"",AW272*AX272)</f>
        <v/>
      </c>
      <c r="AZ272" s="52"/>
      <c r="BA272" s="56" t="str">
        <f aca="false">IF(AY272="","",IF(AZ272="",AY272,ROUNDUP(AY272/AZ272,0)))</f>
        <v/>
      </c>
      <c r="BB272" s="49" t="str">
        <f aca="false">IF(BA272="","",IF(BA272&gt;=15,"P1 – Critique",IF(BA272&gt;=8,"P2 – Élevée",IF(BA272&gt;=4,"P3 – Modérée","P4 – Faible"))))</f>
        <v/>
      </c>
      <c r="BC272" s="50"/>
      <c r="BD272" s="50"/>
      <c r="BE272" s="54"/>
      <c r="BF272" s="57"/>
      <c r="BG272" s="50"/>
      <c r="BH272" s="54"/>
      <c r="BI272" s="54"/>
      <c r="BJ272" s="50"/>
      <c r="BK272" s="50"/>
    </row>
    <row r="273" customFormat="false" ht="15" hidden="false" customHeight="false" outlineLevel="0" collapsed="false">
      <c r="A273" s="49" t="str">
        <f aca="false">IF(B273="","","PC-"&amp;TEXT(ROW()-2,"000"))</f>
        <v/>
      </c>
      <c r="B273" s="50"/>
      <c r="C273" s="50"/>
      <c r="D273" s="51"/>
      <c r="E273" s="51"/>
      <c r="F273" s="51"/>
      <c r="G273" s="50"/>
      <c r="H273" s="50"/>
      <c r="I273" s="50"/>
      <c r="J273" s="51"/>
      <c r="K273" s="50"/>
      <c r="L273" s="50"/>
      <c r="M273" s="50"/>
      <c r="N273" s="50"/>
      <c r="O273" s="52"/>
      <c r="P273" s="50"/>
      <c r="Q273" s="52"/>
      <c r="R273" s="52"/>
      <c r="S273" s="49" t="str">
        <f aca="false">IF(B273="","",IF(OR(O273="",R273=""),"—",IF(O273&lt;=R273,"⚠ RÉAPPRO","OK")))</f>
        <v/>
      </c>
      <c r="T273" s="50"/>
      <c r="U273" s="50"/>
      <c r="V273" s="50"/>
      <c r="W273" s="50"/>
      <c r="X273" s="50"/>
      <c r="Y273" s="53" t="str">
        <f aca="false">IF(B273="","",IF(X273="","—",IF(X273="Non classé","Non classé",IFERROR(INDEX(RefH_Classe,MATCH(TRIM(LEFT(X273,FIND(",",X273&amp;",")-1)),RefH_Code,0)),"Code H inconnu"))))</f>
        <v/>
      </c>
      <c r="Z273" s="50"/>
      <c r="AA273" s="50"/>
      <c r="AB273" s="51"/>
      <c r="AC273" s="51"/>
      <c r="AD273" s="51"/>
      <c r="AE273" s="51"/>
      <c r="AF273" s="50"/>
      <c r="AG273" s="51"/>
      <c r="AH273" s="54"/>
      <c r="AI273" s="51"/>
      <c r="AJ273" s="55" t="str">
        <f aca="false">IF(AH273="","",EDATE(AH273,60))</f>
        <v/>
      </c>
      <c r="AK273" s="49" t="str">
        <f aca="true">IF(B273="","",IF(OR(AG273="Non",AH273=""),"FDS ABSENTE",IF(TODAY()&gt;=EDATE(AH273,60),"EXPIRÉE",IF(TODAY()&gt;=EDATE(AH273,54),"À RENOUVELER","CONFORME"))))</f>
        <v/>
      </c>
      <c r="AL273" s="50"/>
      <c r="AM273" s="54"/>
      <c r="AN273" s="54"/>
      <c r="AO273" s="50"/>
      <c r="AP273" s="50"/>
      <c r="AQ273" s="50"/>
      <c r="AR273" s="50"/>
      <c r="AS273" s="50"/>
      <c r="AT273" s="50"/>
      <c r="AU273" s="50"/>
      <c r="AV273" s="50"/>
      <c r="AW273" s="52"/>
      <c r="AX273" s="52"/>
      <c r="AY273" s="56" t="str">
        <f aca="false">IF(OR(AW273="",AX273=""),"",AW273*AX273)</f>
        <v/>
      </c>
      <c r="AZ273" s="52"/>
      <c r="BA273" s="56" t="str">
        <f aca="false">IF(AY273="","",IF(AZ273="",AY273,ROUNDUP(AY273/AZ273,0)))</f>
        <v/>
      </c>
      <c r="BB273" s="49" t="str">
        <f aca="false">IF(BA273="","",IF(BA273&gt;=15,"P1 – Critique",IF(BA273&gt;=8,"P2 – Élevée",IF(BA273&gt;=4,"P3 – Modérée","P4 – Faible"))))</f>
        <v/>
      </c>
      <c r="BC273" s="50"/>
      <c r="BD273" s="50"/>
      <c r="BE273" s="54"/>
      <c r="BF273" s="57"/>
      <c r="BG273" s="50"/>
      <c r="BH273" s="54"/>
      <c r="BI273" s="54"/>
      <c r="BJ273" s="50"/>
      <c r="BK273" s="50"/>
    </row>
    <row r="274" customFormat="false" ht="15" hidden="false" customHeight="false" outlineLevel="0" collapsed="false">
      <c r="A274" s="49" t="str">
        <f aca="false">IF(B274="","","PC-"&amp;TEXT(ROW()-2,"000"))</f>
        <v/>
      </c>
      <c r="B274" s="50"/>
      <c r="C274" s="50"/>
      <c r="D274" s="51"/>
      <c r="E274" s="51"/>
      <c r="F274" s="51"/>
      <c r="G274" s="50"/>
      <c r="H274" s="50"/>
      <c r="I274" s="50"/>
      <c r="J274" s="51"/>
      <c r="K274" s="50"/>
      <c r="L274" s="50"/>
      <c r="M274" s="50"/>
      <c r="N274" s="50"/>
      <c r="O274" s="52"/>
      <c r="P274" s="50"/>
      <c r="Q274" s="52"/>
      <c r="R274" s="52"/>
      <c r="S274" s="49" t="str">
        <f aca="false">IF(B274="","",IF(OR(O274="",R274=""),"—",IF(O274&lt;=R274,"⚠ RÉAPPRO","OK")))</f>
        <v/>
      </c>
      <c r="T274" s="50"/>
      <c r="U274" s="50"/>
      <c r="V274" s="50"/>
      <c r="W274" s="50"/>
      <c r="X274" s="50"/>
      <c r="Y274" s="53" t="str">
        <f aca="false">IF(B274="","",IF(X274="","—",IF(X274="Non classé","Non classé",IFERROR(INDEX(RefH_Classe,MATCH(TRIM(LEFT(X274,FIND(",",X274&amp;",")-1)),RefH_Code,0)),"Code H inconnu"))))</f>
        <v/>
      </c>
      <c r="Z274" s="50"/>
      <c r="AA274" s="50"/>
      <c r="AB274" s="51"/>
      <c r="AC274" s="51"/>
      <c r="AD274" s="51"/>
      <c r="AE274" s="51"/>
      <c r="AF274" s="50"/>
      <c r="AG274" s="51"/>
      <c r="AH274" s="54"/>
      <c r="AI274" s="51"/>
      <c r="AJ274" s="55" t="str">
        <f aca="false">IF(AH274="","",EDATE(AH274,60))</f>
        <v/>
      </c>
      <c r="AK274" s="49" t="str">
        <f aca="true">IF(B274="","",IF(OR(AG274="Non",AH274=""),"FDS ABSENTE",IF(TODAY()&gt;=EDATE(AH274,60),"EXPIRÉE",IF(TODAY()&gt;=EDATE(AH274,54),"À RENOUVELER","CONFORME"))))</f>
        <v/>
      </c>
      <c r="AL274" s="50"/>
      <c r="AM274" s="54"/>
      <c r="AN274" s="54"/>
      <c r="AO274" s="50"/>
      <c r="AP274" s="50"/>
      <c r="AQ274" s="50"/>
      <c r="AR274" s="50"/>
      <c r="AS274" s="50"/>
      <c r="AT274" s="50"/>
      <c r="AU274" s="50"/>
      <c r="AV274" s="50"/>
      <c r="AW274" s="52"/>
      <c r="AX274" s="52"/>
      <c r="AY274" s="56" t="str">
        <f aca="false">IF(OR(AW274="",AX274=""),"",AW274*AX274)</f>
        <v/>
      </c>
      <c r="AZ274" s="52"/>
      <c r="BA274" s="56" t="str">
        <f aca="false">IF(AY274="","",IF(AZ274="",AY274,ROUNDUP(AY274/AZ274,0)))</f>
        <v/>
      </c>
      <c r="BB274" s="49" t="str">
        <f aca="false">IF(BA274="","",IF(BA274&gt;=15,"P1 – Critique",IF(BA274&gt;=8,"P2 – Élevée",IF(BA274&gt;=4,"P3 – Modérée","P4 – Faible"))))</f>
        <v/>
      </c>
      <c r="BC274" s="50"/>
      <c r="BD274" s="50"/>
      <c r="BE274" s="54"/>
      <c r="BF274" s="57"/>
      <c r="BG274" s="50"/>
      <c r="BH274" s="54"/>
      <c r="BI274" s="54"/>
      <c r="BJ274" s="50"/>
      <c r="BK274" s="50"/>
    </row>
    <row r="275" customFormat="false" ht="15" hidden="false" customHeight="false" outlineLevel="0" collapsed="false">
      <c r="A275" s="49" t="str">
        <f aca="false">IF(B275="","","PC-"&amp;TEXT(ROW()-2,"000"))</f>
        <v/>
      </c>
      <c r="B275" s="50"/>
      <c r="C275" s="50"/>
      <c r="D275" s="51"/>
      <c r="E275" s="51"/>
      <c r="F275" s="51"/>
      <c r="G275" s="50"/>
      <c r="H275" s="50"/>
      <c r="I275" s="50"/>
      <c r="J275" s="51"/>
      <c r="K275" s="50"/>
      <c r="L275" s="50"/>
      <c r="M275" s="50"/>
      <c r="N275" s="50"/>
      <c r="O275" s="52"/>
      <c r="P275" s="50"/>
      <c r="Q275" s="52"/>
      <c r="R275" s="52"/>
      <c r="S275" s="49" t="str">
        <f aca="false">IF(B275="","",IF(OR(O275="",R275=""),"—",IF(O275&lt;=R275,"⚠ RÉAPPRO","OK")))</f>
        <v/>
      </c>
      <c r="T275" s="50"/>
      <c r="U275" s="50"/>
      <c r="V275" s="50"/>
      <c r="W275" s="50"/>
      <c r="X275" s="50"/>
      <c r="Y275" s="53" t="str">
        <f aca="false">IF(B275="","",IF(X275="","—",IF(X275="Non classé","Non classé",IFERROR(INDEX(RefH_Classe,MATCH(TRIM(LEFT(X275,FIND(",",X275&amp;",")-1)),RefH_Code,0)),"Code H inconnu"))))</f>
        <v/>
      </c>
      <c r="Z275" s="50"/>
      <c r="AA275" s="50"/>
      <c r="AB275" s="51"/>
      <c r="AC275" s="51"/>
      <c r="AD275" s="51"/>
      <c r="AE275" s="51"/>
      <c r="AF275" s="50"/>
      <c r="AG275" s="51"/>
      <c r="AH275" s="54"/>
      <c r="AI275" s="51"/>
      <c r="AJ275" s="55" t="str">
        <f aca="false">IF(AH275="","",EDATE(AH275,60))</f>
        <v/>
      </c>
      <c r="AK275" s="49" t="str">
        <f aca="true">IF(B275="","",IF(OR(AG275="Non",AH275=""),"FDS ABSENTE",IF(TODAY()&gt;=EDATE(AH275,60),"EXPIRÉE",IF(TODAY()&gt;=EDATE(AH275,54),"À RENOUVELER","CONFORME"))))</f>
        <v/>
      </c>
      <c r="AL275" s="50"/>
      <c r="AM275" s="54"/>
      <c r="AN275" s="54"/>
      <c r="AO275" s="50"/>
      <c r="AP275" s="50"/>
      <c r="AQ275" s="50"/>
      <c r="AR275" s="50"/>
      <c r="AS275" s="50"/>
      <c r="AT275" s="50"/>
      <c r="AU275" s="50"/>
      <c r="AV275" s="50"/>
      <c r="AW275" s="52"/>
      <c r="AX275" s="52"/>
      <c r="AY275" s="56" t="str">
        <f aca="false">IF(OR(AW275="",AX275=""),"",AW275*AX275)</f>
        <v/>
      </c>
      <c r="AZ275" s="52"/>
      <c r="BA275" s="56" t="str">
        <f aca="false">IF(AY275="","",IF(AZ275="",AY275,ROUNDUP(AY275/AZ275,0)))</f>
        <v/>
      </c>
      <c r="BB275" s="49" t="str">
        <f aca="false">IF(BA275="","",IF(BA275&gt;=15,"P1 – Critique",IF(BA275&gt;=8,"P2 – Élevée",IF(BA275&gt;=4,"P3 – Modérée","P4 – Faible"))))</f>
        <v/>
      </c>
      <c r="BC275" s="50"/>
      <c r="BD275" s="50"/>
      <c r="BE275" s="54"/>
      <c r="BF275" s="57"/>
      <c r="BG275" s="50"/>
      <c r="BH275" s="54"/>
      <c r="BI275" s="54"/>
      <c r="BJ275" s="50"/>
      <c r="BK275" s="50"/>
    </row>
    <row r="276" customFormat="false" ht="15" hidden="false" customHeight="false" outlineLevel="0" collapsed="false">
      <c r="A276" s="49" t="str">
        <f aca="false">IF(B276="","","PC-"&amp;TEXT(ROW()-2,"000"))</f>
        <v/>
      </c>
      <c r="B276" s="50"/>
      <c r="C276" s="50"/>
      <c r="D276" s="51"/>
      <c r="E276" s="51"/>
      <c r="F276" s="51"/>
      <c r="G276" s="50"/>
      <c r="H276" s="50"/>
      <c r="I276" s="50"/>
      <c r="J276" s="51"/>
      <c r="K276" s="50"/>
      <c r="L276" s="50"/>
      <c r="M276" s="50"/>
      <c r="N276" s="50"/>
      <c r="O276" s="52"/>
      <c r="P276" s="50"/>
      <c r="Q276" s="52"/>
      <c r="R276" s="52"/>
      <c r="S276" s="49" t="str">
        <f aca="false">IF(B276="","",IF(OR(O276="",R276=""),"—",IF(O276&lt;=R276,"⚠ RÉAPPRO","OK")))</f>
        <v/>
      </c>
      <c r="T276" s="50"/>
      <c r="U276" s="50"/>
      <c r="V276" s="50"/>
      <c r="W276" s="50"/>
      <c r="X276" s="50"/>
      <c r="Y276" s="53" t="str">
        <f aca="false">IF(B276="","",IF(X276="","—",IF(X276="Non classé","Non classé",IFERROR(INDEX(RefH_Classe,MATCH(TRIM(LEFT(X276,FIND(",",X276&amp;",")-1)),RefH_Code,0)),"Code H inconnu"))))</f>
        <v/>
      </c>
      <c r="Z276" s="50"/>
      <c r="AA276" s="50"/>
      <c r="AB276" s="51"/>
      <c r="AC276" s="51"/>
      <c r="AD276" s="51"/>
      <c r="AE276" s="51"/>
      <c r="AF276" s="50"/>
      <c r="AG276" s="51"/>
      <c r="AH276" s="54"/>
      <c r="AI276" s="51"/>
      <c r="AJ276" s="55" t="str">
        <f aca="false">IF(AH276="","",EDATE(AH276,60))</f>
        <v/>
      </c>
      <c r="AK276" s="49" t="str">
        <f aca="true">IF(B276="","",IF(OR(AG276="Non",AH276=""),"FDS ABSENTE",IF(TODAY()&gt;=EDATE(AH276,60),"EXPIRÉE",IF(TODAY()&gt;=EDATE(AH276,54),"À RENOUVELER","CONFORME"))))</f>
        <v/>
      </c>
      <c r="AL276" s="50"/>
      <c r="AM276" s="54"/>
      <c r="AN276" s="54"/>
      <c r="AO276" s="50"/>
      <c r="AP276" s="50"/>
      <c r="AQ276" s="50"/>
      <c r="AR276" s="50"/>
      <c r="AS276" s="50"/>
      <c r="AT276" s="50"/>
      <c r="AU276" s="50"/>
      <c r="AV276" s="50"/>
      <c r="AW276" s="52"/>
      <c r="AX276" s="52"/>
      <c r="AY276" s="56" t="str">
        <f aca="false">IF(OR(AW276="",AX276=""),"",AW276*AX276)</f>
        <v/>
      </c>
      <c r="AZ276" s="52"/>
      <c r="BA276" s="56" t="str">
        <f aca="false">IF(AY276="","",IF(AZ276="",AY276,ROUNDUP(AY276/AZ276,0)))</f>
        <v/>
      </c>
      <c r="BB276" s="49" t="str">
        <f aca="false">IF(BA276="","",IF(BA276&gt;=15,"P1 – Critique",IF(BA276&gt;=8,"P2 – Élevée",IF(BA276&gt;=4,"P3 – Modérée","P4 – Faible"))))</f>
        <v/>
      </c>
      <c r="BC276" s="50"/>
      <c r="BD276" s="50"/>
      <c r="BE276" s="54"/>
      <c r="BF276" s="57"/>
      <c r="BG276" s="50"/>
      <c r="BH276" s="54"/>
      <c r="BI276" s="54"/>
      <c r="BJ276" s="50"/>
      <c r="BK276" s="50"/>
    </row>
    <row r="277" customFormat="false" ht="15" hidden="false" customHeight="false" outlineLevel="0" collapsed="false">
      <c r="A277" s="49" t="str">
        <f aca="false">IF(B277="","","PC-"&amp;TEXT(ROW()-2,"000"))</f>
        <v/>
      </c>
      <c r="B277" s="50"/>
      <c r="C277" s="50"/>
      <c r="D277" s="51"/>
      <c r="E277" s="51"/>
      <c r="F277" s="51"/>
      <c r="G277" s="50"/>
      <c r="H277" s="50"/>
      <c r="I277" s="50"/>
      <c r="J277" s="51"/>
      <c r="K277" s="50"/>
      <c r="L277" s="50"/>
      <c r="M277" s="50"/>
      <c r="N277" s="50"/>
      <c r="O277" s="52"/>
      <c r="P277" s="50"/>
      <c r="Q277" s="52"/>
      <c r="R277" s="52"/>
      <c r="S277" s="49" t="str">
        <f aca="false">IF(B277="","",IF(OR(O277="",R277=""),"—",IF(O277&lt;=R277,"⚠ RÉAPPRO","OK")))</f>
        <v/>
      </c>
      <c r="T277" s="50"/>
      <c r="U277" s="50"/>
      <c r="V277" s="50"/>
      <c r="W277" s="50"/>
      <c r="X277" s="50"/>
      <c r="Y277" s="53" t="str">
        <f aca="false">IF(B277="","",IF(X277="","—",IF(X277="Non classé","Non classé",IFERROR(INDEX(RefH_Classe,MATCH(TRIM(LEFT(X277,FIND(",",X277&amp;",")-1)),RefH_Code,0)),"Code H inconnu"))))</f>
        <v/>
      </c>
      <c r="Z277" s="50"/>
      <c r="AA277" s="50"/>
      <c r="AB277" s="51"/>
      <c r="AC277" s="51"/>
      <c r="AD277" s="51"/>
      <c r="AE277" s="51"/>
      <c r="AF277" s="50"/>
      <c r="AG277" s="51"/>
      <c r="AH277" s="54"/>
      <c r="AI277" s="51"/>
      <c r="AJ277" s="55" t="str">
        <f aca="false">IF(AH277="","",EDATE(AH277,60))</f>
        <v/>
      </c>
      <c r="AK277" s="49" t="str">
        <f aca="true">IF(B277="","",IF(OR(AG277="Non",AH277=""),"FDS ABSENTE",IF(TODAY()&gt;=EDATE(AH277,60),"EXPIRÉE",IF(TODAY()&gt;=EDATE(AH277,54),"À RENOUVELER","CONFORME"))))</f>
        <v/>
      </c>
      <c r="AL277" s="50"/>
      <c r="AM277" s="54"/>
      <c r="AN277" s="54"/>
      <c r="AO277" s="50"/>
      <c r="AP277" s="50"/>
      <c r="AQ277" s="50"/>
      <c r="AR277" s="50"/>
      <c r="AS277" s="50"/>
      <c r="AT277" s="50"/>
      <c r="AU277" s="50"/>
      <c r="AV277" s="50"/>
      <c r="AW277" s="52"/>
      <c r="AX277" s="52"/>
      <c r="AY277" s="56" t="str">
        <f aca="false">IF(OR(AW277="",AX277=""),"",AW277*AX277)</f>
        <v/>
      </c>
      <c r="AZ277" s="52"/>
      <c r="BA277" s="56" t="str">
        <f aca="false">IF(AY277="","",IF(AZ277="",AY277,ROUNDUP(AY277/AZ277,0)))</f>
        <v/>
      </c>
      <c r="BB277" s="49" t="str">
        <f aca="false">IF(BA277="","",IF(BA277&gt;=15,"P1 – Critique",IF(BA277&gt;=8,"P2 – Élevée",IF(BA277&gt;=4,"P3 – Modérée","P4 – Faible"))))</f>
        <v/>
      </c>
      <c r="BC277" s="50"/>
      <c r="BD277" s="50"/>
      <c r="BE277" s="54"/>
      <c r="BF277" s="57"/>
      <c r="BG277" s="50"/>
      <c r="BH277" s="54"/>
      <c r="BI277" s="54"/>
      <c r="BJ277" s="50"/>
      <c r="BK277" s="50"/>
    </row>
    <row r="278" customFormat="false" ht="15" hidden="false" customHeight="false" outlineLevel="0" collapsed="false">
      <c r="A278" s="49" t="str">
        <f aca="false">IF(B278="","","PC-"&amp;TEXT(ROW()-2,"000"))</f>
        <v/>
      </c>
      <c r="B278" s="50"/>
      <c r="C278" s="50"/>
      <c r="D278" s="51"/>
      <c r="E278" s="51"/>
      <c r="F278" s="51"/>
      <c r="G278" s="50"/>
      <c r="H278" s="50"/>
      <c r="I278" s="50"/>
      <c r="J278" s="51"/>
      <c r="K278" s="50"/>
      <c r="L278" s="50"/>
      <c r="M278" s="50"/>
      <c r="N278" s="50"/>
      <c r="O278" s="52"/>
      <c r="P278" s="50"/>
      <c r="Q278" s="52"/>
      <c r="R278" s="52"/>
      <c r="S278" s="49" t="str">
        <f aca="false">IF(B278="","",IF(OR(O278="",R278=""),"—",IF(O278&lt;=R278,"⚠ RÉAPPRO","OK")))</f>
        <v/>
      </c>
      <c r="T278" s="50"/>
      <c r="U278" s="50"/>
      <c r="V278" s="50"/>
      <c r="W278" s="50"/>
      <c r="X278" s="50"/>
      <c r="Y278" s="53" t="str">
        <f aca="false">IF(B278="","",IF(X278="","—",IF(X278="Non classé","Non classé",IFERROR(INDEX(RefH_Classe,MATCH(TRIM(LEFT(X278,FIND(",",X278&amp;",")-1)),RefH_Code,0)),"Code H inconnu"))))</f>
        <v/>
      </c>
      <c r="Z278" s="50"/>
      <c r="AA278" s="50"/>
      <c r="AB278" s="51"/>
      <c r="AC278" s="51"/>
      <c r="AD278" s="51"/>
      <c r="AE278" s="51"/>
      <c r="AF278" s="50"/>
      <c r="AG278" s="51"/>
      <c r="AH278" s="54"/>
      <c r="AI278" s="51"/>
      <c r="AJ278" s="55" t="str">
        <f aca="false">IF(AH278="","",EDATE(AH278,60))</f>
        <v/>
      </c>
      <c r="AK278" s="49" t="str">
        <f aca="true">IF(B278="","",IF(OR(AG278="Non",AH278=""),"FDS ABSENTE",IF(TODAY()&gt;=EDATE(AH278,60),"EXPIRÉE",IF(TODAY()&gt;=EDATE(AH278,54),"À RENOUVELER","CONFORME"))))</f>
        <v/>
      </c>
      <c r="AL278" s="50"/>
      <c r="AM278" s="54"/>
      <c r="AN278" s="54"/>
      <c r="AO278" s="50"/>
      <c r="AP278" s="50"/>
      <c r="AQ278" s="50"/>
      <c r="AR278" s="50"/>
      <c r="AS278" s="50"/>
      <c r="AT278" s="50"/>
      <c r="AU278" s="50"/>
      <c r="AV278" s="50"/>
      <c r="AW278" s="52"/>
      <c r="AX278" s="52"/>
      <c r="AY278" s="56" t="str">
        <f aca="false">IF(OR(AW278="",AX278=""),"",AW278*AX278)</f>
        <v/>
      </c>
      <c r="AZ278" s="52"/>
      <c r="BA278" s="56" t="str">
        <f aca="false">IF(AY278="","",IF(AZ278="",AY278,ROUNDUP(AY278/AZ278,0)))</f>
        <v/>
      </c>
      <c r="BB278" s="49" t="str">
        <f aca="false">IF(BA278="","",IF(BA278&gt;=15,"P1 – Critique",IF(BA278&gt;=8,"P2 – Élevée",IF(BA278&gt;=4,"P3 – Modérée","P4 – Faible"))))</f>
        <v/>
      </c>
      <c r="BC278" s="50"/>
      <c r="BD278" s="50"/>
      <c r="BE278" s="54"/>
      <c r="BF278" s="57"/>
      <c r="BG278" s="50"/>
      <c r="BH278" s="54"/>
      <c r="BI278" s="54"/>
      <c r="BJ278" s="50"/>
      <c r="BK278" s="50"/>
    </row>
    <row r="279" customFormat="false" ht="15" hidden="false" customHeight="false" outlineLevel="0" collapsed="false">
      <c r="A279" s="49" t="str">
        <f aca="false">IF(B279="","","PC-"&amp;TEXT(ROW()-2,"000"))</f>
        <v/>
      </c>
      <c r="B279" s="50"/>
      <c r="C279" s="50"/>
      <c r="D279" s="51"/>
      <c r="E279" s="51"/>
      <c r="F279" s="51"/>
      <c r="G279" s="50"/>
      <c r="H279" s="50"/>
      <c r="I279" s="50"/>
      <c r="J279" s="51"/>
      <c r="K279" s="50"/>
      <c r="L279" s="50"/>
      <c r="M279" s="50"/>
      <c r="N279" s="50"/>
      <c r="O279" s="52"/>
      <c r="P279" s="50"/>
      <c r="Q279" s="52"/>
      <c r="R279" s="52"/>
      <c r="S279" s="49" t="str">
        <f aca="false">IF(B279="","",IF(OR(O279="",R279=""),"—",IF(O279&lt;=R279,"⚠ RÉAPPRO","OK")))</f>
        <v/>
      </c>
      <c r="T279" s="50"/>
      <c r="U279" s="50"/>
      <c r="V279" s="50"/>
      <c r="W279" s="50"/>
      <c r="X279" s="50"/>
      <c r="Y279" s="53" t="str">
        <f aca="false">IF(B279="","",IF(X279="","—",IF(X279="Non classé","Non classé",IFERROR(INDEX(RefH_Classe,MATCH(TRIM(LEFT(X279,FIND(",",X279&amp;",")-1)),RefH_Code,0)),"Code H inconnu"))))</f>
        <v/>
      </c>
      <c r="Z279" s="50"/>
      <c r="AA279" s="50"/>
      <c r="AB279" s="51"/>
      <c r="AC279" s="51"/>
      <c r="AD279" s="51"/>
      <c r="AE279" s="51"/>
      <c r="AF279" s="50"/>
      <c r="AG279" s="51"/>
      <c r="AH279" s="54"/>
      <c r="AI279" s="51"/>
      <c r="AJ279" s="55" t="str">
        <f aca="false">IF(AH279="","",EDATE(AH279,60))</f>
        <v/>
      </c>
      <c r="AK279" s="49" t="str">
        <f aca="true">IF(B279="","",IF(OR(AG279="Non",AH279=""),"FDS ABSENTE",IF(TODAY()&gt;=EDATE(AH279,60),"EXPIRÉE",IF(TODAY()&gt;=EDATE(AH279,54),"À RENOUVELER","CONFORME"))))</f>
        <v/>
      </c>
      <c r="AL279" s="50"/>
      <c r="AM279" s="54"/>
      <c r="AN279" s="54"/>
      <c r="AO279" s="50"/>
      <c r="AP279" s="50"/>
      <c r="AQ279" s="50"/>
      <c r="AR279" s="50"/>
      <c r="AS279" s="50"/>
      <c r="AT279" s="50"/>
      <c r="AU279" s="50"/>
      <c r="AV279" s="50"/>
      <c r="AW279" s="52"/>
      <c r="AX279" s="52"/>
      <c r="AY279" s="56" t="str">
        <f aca="false">IF(OR(AW279="",AX279=""),"",AW279*AX279)</f>
        <v/>
      </c>
      <c r="AZ279" s="52"/>
      <c r="BA279" s="56" t="str">
        <f aca="false">IF(AY279="","",IF(AZ279="",AY279,ROUNDUP(AY279/AZ279,0)))</f>
        <v/>
      </c>
      <c r="BB279" s="49" t="str">
        <f aca="false">IF(BA279="","",IF(BA279&gt;=15,"P1 – Critique",IF(BA279&gt;=8,"P2 – Élevée",IF(BA279&gt;=4,"P3 – Modérée","P4 – Faible"))))</f>
        <v/>
      </c>
      <c r="BC279" s="50"/>
      <c r="BD279" s="50"/>
      <c r="BE279" s="54"/>
      <c r="BF279" s="57"/>
      <c r="BG279" s="50"/>
      <c r="BH279" s="54"/>
      <c r="BI279" s="54"/>
      <c r="BJ279" s="50"/>
      <c r="BK279" s="50"/>
    </row>
    <row r="280" customFormat="false" ht="15" hidden="false" customHeight="false" outlineLevel="0" collapsed="false">
      <c r="A280" s="49" t="str">
        <f aca="false">IF(B280="","","PC-"&amp;TEXT(ROW()-2,"000"))</f>
        <v/>
      </c>
      <c r="B280" s="50"/>
      <c r="C280" s="50"/>
      <c r="D280" s="51"/>
      <c r="E280" s="51"/>
      <c r="F280" s="51"/>
      <c r="G280" s="50"/>
      <c r="H280" s="50"/>
      <c r="I280" s="50"/>
      <c r="J280" s="51"/>
      <c r="K280" s="50"/>
      <c r="L280" s="50"/>
      <c r="M280" s="50"/>
      <c r="N280" s="50"/>
      <c r="O280" s="52"/>
      <c r="P280" s="50"/>
      <c r="Q280" s="52"/>
      <c r="R280" s="52"/>
      <c r="S280" s="49" t="str">
        <f aca="false">IF(B280="","",IF(OR(O280="",R280=""),"—",IF(O280&lt;=R280,"⚠ RÉAPPRO","OK")))</f>
        <v/>
      </c>
      <c r="T280" s="50"/>
      <c r="U280" s="50"/>
      <c r="V280" s="50"/>
      <c r="W280" s="50"/>
      <c r="X280" s="50"/>
      <c r="Y280" s="53" t="str">
        <f aca="false">IF(B280="","",IF(X280="","—",IF(X280="Non classé","Non classé",IFERROR(INDEX(RefH_Classe,MATCH(TRIM(LEFT(X280,FIND(",",X280&amp;",")-1)),RefH_Code,0)),"Code H inconnu"))))</f>
        <v/>
      </c>
      <c r="Z280" s="50"/>
      <c r="AA280" s="50"/>
      <c r="AB280" s="51"/>
      <c r="AC280" s="51"/>
      <c r="AD280" s="51"/>
      <c r="AE280" s="51"/>
      <c r="AF280" s="50"/>
      <c r="AG280" s="51"/>
      <c r="AH280" s="54"/>
      <c r="AI280" s="51"/>
      <c r="AJ280" s="55" t="str">
        <f aca="false">IF(AH280="","",EDATE(AH280,60))</f>
        <v/>
      </c>
      <c r="AK280" s="49" t="str">
        <f aca="true">IF(B280="","",IF(OR(AG280="Non",AH280=""),"FDS ABSENTE",IF(TODAY()&gt;=EDATE(AH280,60),"EXPIRÉE",IF(TODAY()&gt;=EDATE(AH280,54),"À RENOUVELER","CONFORME"))))</f>
        <v/>
      </c>
      <c r="AL280" s="50"/>
      <c r="AM280" s="54"/>
      <c r="AN280" s="54"/>
      <c r="AO280" s="50"/>
      <c r="AP280" s="50"/>
      <c r="AQ280" s="50"/>
      <c r="AR280" s="50"/>
      <c r="AS280" s="50"/>
      <c r="AT280" s="50"/>
      <c r="AU280" s="50"/>
      <c r="AV280" s="50"/>
      <c r="AW280" s="52"/>
      <c r="AX280" s="52"/>
      <c r="AY280" s="56" t="str">
        <f aca="false">IF(OR(AW280="",AX280=""),"",AW280*AX280)</f>
        <v/>
      </c>
      <c r="AZ280" s="52"/>
      <c r="BA280" s="56" t="str">
        <f aca="false">IF(AY280="","",IF(AZ280="",AY280,ROUNDUP(AY280/AZ280,0)))</f>
        <v/>
      </c>
      <c r="BB280" s="49" t="str">
        <f aca="false">IF(BA280="","",IF(BA280&gt;=15,"P1 – Critique",IF(BA280&gt;=8,"P2 – Élevée",IF(BA280&gt;=4,"P3 – Modérée","P4 – Faible"))))</f>
        <v/>
      </c>
      <c r="BC280" s="50"/>
      <c r="BD280" s="50"/>
      <c r="BE280" s="54"/>
      <c r="BF280" s="57"/>
      <c r="BG280" s="50"/>
      <c r="BH280" s="54"/>
      <c r="BI280" s="54"/>
      <c r="BJ280" s="50"/>
      <c r="BK280" s="50"/>
    </row>
    <row r="281" customFormat="false" ht="15" hidden="false" customHeight="false" outlineLevel="0" collapsed="false">
      <c r="A281" s="49" t="str">
        <f aca="false">IF(B281="","","PC-"&amp;TEXT(ROW()-2,"000"))</f>
        <v/>
      </c>
      <c r="B281" s="50"/>
      <c r="C281" s="50"/>
      <c r="D281" s="51"/>
      <c r="E281" s="51"/>
      <c r="F281" s="51"/>
      <c r="G281" s="50"/>
      <c r="H281" s="50"/>
      <c r="I281" s="50"/>
      <c r="J281" s="51"/>
      <c r="K281" s="50"/>
      <c r="L281" s="50"/>
      <c r="M281" s="50"/>
      <c r="N281" s="50"/>
      <c r="O281" s="52"/>
      <c r="P281" s="50"/>
      <c r="Q281" s="52"/>
      <c r="R281" s="52"/>
      <c r="S281" s="49" t="str">
        <f aca="false">IF(B281="","",IF(OR(O281="",R281=""),"—",IF(O281&lt;=R281,"⚠ RÉAPPRO","OK")))</f>
        <v/>
      </c>
      <c r="T281" s="50"/>
      <c r="U281" s="50"/>
      <c r="V281" s="50"/>
      <c r="W281" s="50"/>
      <c r="X281" s="50"/>
      <c r="Y281" s="53" t="str">
        <f aca="false">IF(B281="","",IF(X281="","—",IF(X281="Non classé","Non classé",IFERROR(INDEX(RefH_Classe,MATCH(TRIM(LEFT(X281,FIND(",",X281&amp;",")-1)),RefH_Code,0)),"Code H inconnu"))))</f>
        <v/>
      </c>
      <c r="Z281" s="50"/>
      <c r="AA281" s="50"/>
      <c r="AB281" s="51"/>
      <c r="AC281" s="51"/>
      <c r="AD281" s="51"/>
      <c r="AE281" s="51"/>
      <c r="AF281" s="50"/>
      <c r="AG281" s="51"/>
      <c r="AH281" s="54"/>
      <c r="AI281" s="51"/>
      <c r="AJ281" s="55" t="str">
        <f aca="false">IF(AH281="","",EDATE(AH281,60))</f>
        <v/>
      </c>
      <c r="AK281" s="49" t="str">
        <f aca="true">IF(B281="","",IF(OR(AG281="Non",AH281=""),"FDS ABSENTE",IF(TODAY()&gt;=EDATE(AH281,60),"EXPIRÉE",IF(TODAY()&gt;=EDATE(AH281,54),"À RENOUVELER","CONFORME"))))</f>
        <v/>
      </c>
      <c r="AL281" s="50"/>
      <c r="AM281" s="54"/>
      <c r="AN281" s="54"/>
      <c r="AO281" s="50"/>
      <c r="AP281" s="50"/>
      <c r="AQ281" s="50"/>
      <c r="AR281" s="50"/>
      <c r="AS281" s="50"/>
      <c r="AT281" s="50"/>
      <c r="AU281" s="50"/>
      <c r="AV281" s="50"/>
      <c r="AW281" s="52"/>
      <c r="AX281" s="52"/>
      <c r="AY281" s="56" t="str">
        <f aca="false">IF(OR(AW281="",AX281=""),"",AW281*AX281)</f>
        <v/>
      </c>
      <c r="AZ281" s="52"/>
      <c r="BA281" s="56" t="str">
        <f aca="false">IF(AY281="","",IF(AZ281="",AY281,ROUNDUP(AY281/AZ281,0)))</f>
        <v/>
      </c>
      <c r="BB281" s="49" t="str">
        <f aca="false">IF(BA281="","",IF(BA281&gt;=15,"P1 – Critique",IF(BA281&gt;=8,"P2 – Élevée",IF(BA281&gt;=4,"P3 – Modérée","P4 – Faible"))))</f>
        <v/>
      </c>
      <c r="BC281" s="50"/>
      <c r="BD281" s="50"/>
      <c r="BE281" s="54"/>
      <c r="BF281" s="57"/>
      <c r="BG281" s="50"/>
      <c r="BH281" s="54"/>
      <c r="BI281" s="54"/>
      <c r="BJ281" s="50"/>
      <c r="BK281" s="50"/>
    </row>
    <row r="282" customFormat="false" ht="15" hidden="false" customHeight="false" outlineLevel="0" collapsed="false">
      <c r="A282" s="49" t="str">
        <f aca="false">IF(B282="","","PC-"&amp;TEXT(ROW()-2,"000"))</f>
        <v/>
      </c>
      <c r="B282" s="50"/>
      <c r="C282" s="50"/>
      <c r="D282" s="51"/>
      <c r="E282" s="51"/>
      <c r="F282" s="51"/>
      <c r="G282" s="50"/>
      <c r="H282" s="50"/>
      <c r="I282" s="50"/>
      <c r="J282" s="51"/>
      <c r="K282" s="50"/>
      <c r="L282" s="50"/>
      <c r="M282" s="50"/>
      <c r="N282" s="50"/>
      <c r="O282" s="52"/>
      <c r="P282" s="50"/>
      <c r="Q282" s="52"/>
      <c r="R282" s="52"/>
      <c r="S282" s="49" t="str">
        <f aca="false">IF(B282="","",IF(OR(O282="",R282=""),"—",IF(O282&lt;=R282,"⚠ RÉAPPRO","OK")))</f>
        <v/>
      </c>
      <c r="T282" s="50"/>
      <c r="U282" s="50"/>
      <c r="V282" s="50"/>
      <c r="W282" s="50"/>
      <c r="X282" s="50"/>
      <c r="Y282" s="53" t="str">
        <f aca="false">IF(B282="","",IF(X282="","—",IF(X282="Non classé","Non classé",IFERROR(INDEX(RefH_Classe,MATCH(TRIM(LEFT(X282,FIND(",",X282&amp;",")-1)),RefH_Code,0)),"Code H inconnu"))))</f>
        <v/>
      </c>
      <c r="Z282" s="50"/>
      <c r="AA282" s="50"/>
      <c r="AB282" s="51"/>
      <c r="AC282" s="51"/>
      <c r="AD282" s="51"/>
      <c r="AE282" s="51"/>
      <c r="AF282" s="50"/>
      <c r="AG282" s="51"/>
      <c r="AH282" s="54"/>
      <c r="AI282" s="51"/>
      <c r="AJ282" s="55" t="str">
        <f aca="false">IF(AH282="","",EDATE(AH282,60))</f>
        <v/>
      </c>
      <c r="AK282" s="49" t="str">
        <f aca="true">IF(B282="","",IF(OR(AG282="Non",AH282=""),"FDS ABSENTE",IF(TODAY()&gt;=EDATE(AH282,60),"EXPIRÉE",IF(TODAY()&gt;=EDATE(AH282,54),"À RENOUVELER","CONFORME"))))</f>
        <v/>
      </c>
      <c r="AL282" s="50"/>
      <c r="AM282" s="54"/>
      <c r="AN282" s="54"/>
      <c r="AO282" s="50"/>
      <c r="AP282" s="50"/>
      <c r="AQ282" s="50"/>
      <c r="AR282" s="50"/>
      <c r="AS282" s="50"/>
      <c r="AT282" s="50"/>
      <c r="AU282" s="50"/>
      <c r="AV282" s="50"/>
      <c r="AW282" s="52"/>
      <c r="AX282" s="52"/>
      <c r="AY282" s="56" t="str">
        <f aca="false">IF(OR(AW282="",AX282=""),"",AW282*AX282)</f>
        <v/>
      </c>
      <c r="AZ282" s="52"/>
      <c r="BA282" s="56" t="str">
        <f aca="false">IF(AY282="","",IF(AZ282="",AY282,ROUNDUP(AY282/AZ282,0)))</f>
        <v/>
      </c>
      <c r="BB282" s="49" t="str">
        <f aca="false">IF(BA282="","",IF(BA282&gt;=15,"P1 – Critique",IF(BA282&gt;=8,"P2 – Élevée",IF(BA282&gt;=4,"P3 – Modérée","P4 – Faible"))))</f>
        <v/>
      </c>
      <c r="BC282" s="50"/>
      <c r="BD282" s="50"/>
      <c r="BE282" s="54"/>
      <c r="BF282" s="57"/>
      <c r="BG282" s="50"/>
      <c r="BH282" s="54"/>
      <c r="BI282" s="54"/>
      <c r="BJ282" s="50"/>
      <c r="BK282" s="50"/>
    </row>
    <row r="283" customFormat="false" ht="15" hidden="false" customHeight="false" outlineLevel="0" collapsed="false">
      <c r="A283" s="49" t="str">
        <f aca="false">IF(B283="","","PC-"&amp;TEXT(ROW()-2,"000"))</f>
        <v/>
      </c>
      <c r="B283" s="50"/>
      <c r="C283" s="50"/>
      <c r="D283" s="51"/>
      <c r="E283" s="51"/>
      <c r="F283" s="51"/>
      <c r="G283" s="50"/>
      <c r="H283" s="50"/>
      <c r="I283" s="50"/>
      <c r="J283" s="51"/>
      <c r="K283" s="50"/>
      <c r="L283" s="50"/>
      <c r="M283" s="50"/>
      <c r="N283" s="50"/>
      <c r="O283" s="52"/>
      <c r="P283" s="50"/>
      <c r="Q283" s="52"/>
      <c r="R283" s="52"/>
      <c r="S283" s="49" t="str">
        <f aca="false">IF(B283="","",IF(OR(O283="",R283=""),"—",IF(O283&lt;=R283,"⚠ RÉAPPRO","OK")))</f>
        <v/>
      </c>
      <c r="T283" s="50"/>
      <c r="U283" s="50"/>
      <c r="V283" s="50"/>
      <c r="W283" s="50"/>
      <c r="X283" s="50"/>
      <c r="Y283" s="53" t="str">
        <f aca="false">IF(B283="","",IF(X283="","—",IF(X283="Non classé","Non classé",IFERROR(INDEX(RefH_Classe,MATCH(TRIM(LEFT(X283,FIND(",",X283&amp;",")-1)),RefH_Code,0)),"Code H inconnu"))))</f>
        <v/>
      </c>
      <c r="Z283" s="50"/>
      <c r="AA283" s="50"/>
      <c r="AB283" s="51"/>
      <c r="AC283" s="51"/>
      <c r="AD283" s="51"/>
      <c r="AE283" s="51"/>
      <c r="AF283" s="50"/>
      <c r="AG283" s="51"/>
      <c r="AH283" s="54"/>
      <c r="AI283" s="51"/>
      <c r="AJ283" s="55" t="str">
        <f aca="false">IF(AH283="","",EDATE(AH283,60))</f>
        <v/>
      </c>
      <c r="AK283" s="49" t="str">
        <f aca="true">IF(B283="","",IF(OR(AG283="Non",AH283=""),"FDS ABSENTE",IF(TODAY()&gt;=EDATE(AH283,60),"EXPIRÉE",IF(TODAY()&gt;=EDATE(AH283,54),"À RENOUVELER","CONFORME"))))</f>
        <v/>
      </c>
      <c r="AL283" s="50"/>
      <c r="AM283" s="54"/>
      <c r="AN283" s="54"/>
      <c r="AO283" s="50"/>
      <c r="AP283" s="50"/>
      <c r="AQ283" s="50"/>
      <c r="AR283" s="50"/>
      <c r="AS283" s="50"/>
      <c r="AT283" s="50"/>
      <c r="AU283" s="50"/>
      <c r="AV283" s="50"/>
      <c r="AW283" s="52"/>
      <c r="AX283" s="52"/>
      <c r="AY283" s="56" t="str">
        <f aca="false">IF(OR(AW283="",AX283=""),"",AW283*AX283)</f>
        <v/>
      </c>
      <c r="AZ283" s="52"/>
      <c r="BA283" s="56" t="str">
        <f aca="false">IF(AY283="","",IF(AZ283="",AY283,ROUNDUP(AY283/AZ283,0)))</f>
        <v/>
      </c>
      <c r="BB283" s="49" t="str">
        <f aca="false">IF(BA283="","",IF(BA283&gt;=15,"P1 – Critique",IF(BA283&gt;=8,"P2 – Élevée",IF(BA283&gt;=4,"P3 – Modérée","P4 – Faible"))))</f>
        <v/>
      </c>
      <c r="BC283" s="50"/>
      <c r="BD283" s="50"/>
      <c r="BE283" s="54"/>
      <c r="BF283" s="57"/>
      <c r="BG283" s="50"/>
      <c r="BH283" s="54"/>
      <c r="BI283" s="54"/>
      <c r="BJ283" s="50"/>
      <c r="BK283" s="50"/>
    </row>
    <row r="284" customFormat="false" ht="15" hidden="false" customHeight="false" outlineLevel="0" collapsed="false">
      <c r="A284" s="49" t="str">
        <f aca="false">IF(B284="","","PC-"&amp;TEXT(ROW()-2,"000"))</f>
        <v/>
      </c>
      <c r="B284" s="50"/>
      <c r="C284" s="50"/>
      <c r="D284" s="51"/>
      <c r="E284" s="51"/>
      <c r="F284" s="51"/>
      <c r="G284" s="50"/>
      <c r="H284" s="50"/>
      <c r="I284" s="50"/>
      <c r="J284" s="51"/>
      <c r="K284" s="50"/>
      <c r="L284" s="50"/>
      <c r="M284" s="50"/>
      <c r="N284" s="50"/>
      <c r="O284" s="52"/>
      <c r="P284" s="50"/>
      <c r="Q284" s="52"/>
      <c r="R284" s="52"/>
      <c r="S284" s="49" t="str">
        <f aca="false">IF(B284="","",IF(OR(O284="",R284=""),"—",IF(O284&lt;=R284,"⚠ RÉAPPRO","OK")))</f>
        <v/>
      </c>
      <c r="T284" s="50"/>
      <c r="U284" s="50"/>
      <c r="V284" s="50"/>
      <c r="W284" s="50"/>
      <c r="X284" s="50"/>
      <c r="Y284" s="53" t="str">
        <f aca="false">IF(B284="","",IF(X284="","—",IF(X284="Non classé","Non classé",IFERROR(INDEX(RefH_Classe,MATCH(TRIM(LEFT(X284,FIND(",",X284&amp;",")-1)),RefH_Code,0)),"Code H inconnu"))))</f>
        <v/>
      </c>
      <c r="Z284" s="50"/>
      <c r="AA284" s="50"/>
      <c r="AB284" s="51"/>
      <c r="AC284" s="51"/>
      <c r="AD284" s="51"/>
      <c r="AE284" s="51"/>
      <c r="AF284" s="50"/>
      <c r="AG284" s="51"/>
      <c r="AH284" s="54"/>
      <c r="AI284" s="51"/>
      <c r="AJ284" s="55" t="str">
        <f aca="false">IF(AH284="","",EDATE(AH284,60))</f>
        <v/>
      </c>
      <c r="AK284" s="49" t="str">
        <f aca="true">IF(B284="","",IF(OR(AG284="Non",AH284=""),"FDS ABSENTE",IF(TODAY()&gt;=EDATE(AH284,60),"EXPIRÉE",IF(TODAY()&gt;=EDATE(AH284,54),"À RENOUVELER","CONFORME"))))</f>
        <v/>
      </c>
      <c r="AL284" s="50"/>
      <c r="AM284" s="54"/>
      <c r="AN284" s="54"/>
      <c r="AO284" s="50"/>
      <c r="AP284" s="50"/>
      <c r="AQ284" s="50"/>
      <c r="AR284" s="50"/>
      <c r="AS284" s="50"/>
      <c r="AT284" s="50"/>
      <c r="AU284" s="50"/>
      <c r="AV284" s="50"/>
      <c r="AW284" s="52"/>
      <c r="AX284" s="52"/>
      <c r="AY284" s="56" t="str">
        <f aca="false">IF(OR(AW284="",AX284=""),"",AW284*AX284)</f>
        <v/>
      </c>
      <c r="AZ284" s="52"/>
      <c r="BA284" s="56" t="str">
        <f aca="false">IF(AY284="","",IF(AZ284="",AY284,ROUNDUP(AY284/AZ284,0)))</f>
        <v/>
      </c>
      <c r="BB284" s="49" t="str">
        <f aca="false">IF(BA284="","",IF(BA284&gt;=15,"P1 – Critique",IF(BA284&gt;=8,"P2 – Élevée",IF(BA284&gt;=4,"P3 – Modérée","P4 – Faible"))))</f>
        <v/>
      </c>
      <c r="BC284" s="50"/>
      <c r="BD284" s="50"/>
      <c r="BE284" s="54"/>
      <c r="BF284" s="57"/>
      <c r="BG284" s="50"/>
      <c r="BH284" s="54"/>
      <c r="BI284" s="54"/>
      <c r="BJ284" s="50"/>
      <c r="BK284" s="50"/>
    </row>
    <row r="285" customFormat="false" ht="15" hidden="false" customHeight="false" outlineLevel="0" collapsed="false">
      <c r="A285" s="49" t="str">
        <f aca="false">IF(B285="","","PC-"&amp;TEXT(ROW()-2,"000"))</f>
        <v/>
      </c>
      <c r="B285" s="50"/>
      <c r="C285" s="50"/>
      <c r="D285" s="51"/>
      <c r="E285" s="51"/>
      <c r="F285" s="51"/>
      <c r="G285" s="50"/>
      <c r="H285" s="50"/>
      <c r="I285" s="50"/>
      <c r="J285" s="51"/>
      <c r="K285" s="50"/>
      <c r="L285" s="50"/>
      <c r="M285" s="50"/>
      <c r="N285" s="50"/>
      <c r="O285" s="52"/>
      <c r="P285" s="50"/>
      <c r="Q285" s="52"/>
      <c r="R285" s="52"/>
      <c r="S285" s="49" t="str">
        <f aca="false">IF(B285="","",IF(OR(O285="",R285=""),"—",IF(O285&lt;=R285,"⚠ RÉAPPRO","OK")))</f>
        <v/>
      </c>
      <c r="T285" s="50"/>
      <c r="U285" s="50"/>
      <c r="V285" s="50"/>
      <c r="W285" s="50"/>
      <c r="X285" s="50"/>
      <c r="Y285" s="53" t="str">
        <f aca="false">IF(B285="","",IF(X285="","—",IF(X285="Non classé","Non classé",IFERROR(INDEX(RefH_Classe,MATCH(TRIM(LEFT(X285,FIND(",",X285&amp;",")-1)),RefH_Code,0)),"Code H inconnu"))))</f>
        <v/>
      </c>
      <c r="Z285" s="50"/>
      <c r="AA285" s="50"/>
      <c r="AB285" s="51"/>
      <c r="AC285" s="51"/>
      <c r="AD285" s="51"/>
      <c r="AE285" s="51"/>
      <c r="AF285" s="50"/>
      <c r="AG285" s="51"/>
      <c r="AH285" s="54"/>
      <c r="AI285" s="51"/>
      <c r="AJ285" s="55" t="str">
        <f aca="false">IF(AH285="","",EDATE(AH285,60))</f>
        <v/>
      </c>
      <c r="AK285" s="49" t="str">
        <f aca="true">IF(B285="","",IF(OR(AG285="Non",AH285=""),"FDS ABSENTE",IF(TODAY()&gt;=EDATE(AH285,60),"EXPIRÉE",IF(TODAY()&gt;=EDATE(AH285,54),"À RENOUVELER","CONFORME"))))</f>
        <v/>
      </c>
      <c r="AL285" s="50"/>
      <c r="AM285" s="54"/>
      <c r="AN285" s="54"/>
      <c r="AO285" s="50"/>
      <c r="AP285" s="50"/>
      <c r="AQ285" s="50"/>
      <c r="AR285" s="50"/>
      <c r="AS285" s="50"/>
      <c r="AT285" s="50"/>
      <c r="AU285" s="50"/>
      <c r="AV285" s="50"/>
      <c r="AW285" s="52"/>
      <c r="AX285" s="52"/>
      <c r="AY285" s="56" t="str">
        <f aca="false">IF(OR(AW285="",AX285=""),"",AW285*AX285)</f>
        <v/>
      </c>
      <c r="AZ285" s="52"/>
      <c r="BA285" s="56" t="str">
        <f aca="false">IF(AY285="","",IF(AZ285="",AY285,ROUNDUP(AY285/AZ285,0)))</f>
        <v/>
      </c>
      <c r="BB285" s="49" t="str">
        <f aca="false">IF(BA285="","",IF(BA285&gt;=15,"P1 – Critique",IF(BA285&gt;=8,"P2 – Élevée",IF(BA285&gt;=4,"P3 – Modérée","P4 – Faible"))))</f>
        <v/>
      </c>
      <c r="BC285" s="50"/>
      <c r="BD285" s="50"/>
      <c r="BE285" s="54"/>
      <c r="BF285" s="57"/>
      <c r="BG285" s="50"/>
      <c r="BH285" s="54"/>
      <c r="BI285" s="54"/>
      <c r="BJ285" s="50"/>
      <c r="BK285" s="50"/>
    </row>
    <row r="286" customFormat="false" ht="15" hidden="false" customHeight="false" outlineLevel="0" collapsed="false">
      <c r="A286" s="49" t="str">
        <f aca="false">IF(B286="","","PC-"&amp;TEXT(ROW()-2,"000"))</f>
        <v/>
      </c>
      <c r="B286" s="50"/>
      <c r="C286" s="50"/>
      <c r="D286" s="51"/>
      <c r="E286" s="51"/>
      <c r="F286" s="51"/>
      <c r="G286" s="50"/>
      <c r="H286" s="50"/>
      <c r="I286" s="50"/>
      <c r="J286" s="51"/>
      <c r="K286" s="50"/>
      <c r="L286" s="50"/>
      <c r="M286" s="50"/>
      <c r="N286" s="50"/>
      <c r="O286" s="52"/>
      <c r="P286" s="50"/>
      <c r="Q286" s="52"/>
      <c r="R286" s="52"/>
      <c r="S286" s="49" t="str">
        <f aca="false">IF(B286="","",IF(OR(O286="",R286=""),"—",IF(O286&lt;=R286,"⚠ RÉAPPRO","OK")))</f>
        <v/>
      </c>
      <c r="T286" s="50"/>
      <c r="U286" s="50"/>
      <c r="V286" s="50"/>
      <c r="W286" s="50"/>
      <c r="X286" s="50"/>
      <c r="Y286" s="53" t="str">
        <f aca="false">IF(B286="","",IF(X286="","—",IF(X286="Non classé","Non classé",IFERROR(INDEX(RefH_Classe,MATCH(TRIM(LEFT(X286,FIND(",",X286&amp;",")-1)),RefH_Code,0)),"Code H inconnu"))))</f>
        <v/>
      </c>
      <c r="Z286" s="50"/>
      <c r="AA286" s="50"/>
      <c r="AB286" s="51"/>
      <c r="AC286" s="51"/>
      <c r="AD286" s="51"/>
      <c r="AE286" s="51"/>
      <c r="AF286" s="50"/>
      <c r="AG286" s="51"/>
      <c r="AH286" s="54"/>
      <c r="AI286" s="51"/>
      <c r="AJ286" s="55" t="str">
        <f aca="false">IF(AH286="","",EDATE(AH286,60))</f>
        <v/>
      </c>
      <c r="AK286" s="49" t="str">
        <f aca="true">IF(B286="","",IF(OR(AG286="Non",AH286=""),"FDS ABSENTE",IF(TODAY()&gt;=EDATE(AH286,60),"EXPIRÉE",IF(TODAY()&gt;=EDATE(AH286,54),"À RENOUVELER","CONFORME"))))</f>
        <v/>
      </c>
      <c r="AL286" s="50"/>
      <c r="AM286" s="54"/>
      <c r="AN286" s="54"/>
      <c r="AO286" s="50"/>
      <c r="AP286" s="50"/>
      <c r="AQ286" s="50"/>
      <c r="AR286" s="50"/>
      <c r="AS286" s="50"/>
      <c r="AT286" s="50"/>
      <c r="AU286" s="50"/>
      <c r="AV286" s="50"/>
      <c r="AW286" s="52"/>
      <c r="AX286" s="52"/>
      <c r="AY286" s="56" t="str">
        <f aca="false">IF(OR(AW286="",AX286=""),"",AW286*AX286)</f>
        <v/>
      </c>
      <c r="AZ286" s="52"/>
      <c r="BA286" s="56" t="str">
        <f aca="false">IF(AY286="","",IF(AZ286="",AY286,ROUNDUP(AY286/AZ286,0)))</f>
        <v/>
      </c>
      <c r="BB286" s="49" t="str">
        <f aca="false">IF(BA286="","",IF(BA286&gt;=15,"P1 – Critique",IF(BA286&gt;=8,"P2 – Élevée",IF(BA286&gt;=4,"P3 – Modérée","P4 – Faible"))))</f>
        <v/>
      </c>
      <c r="BC286" s="50"/>
      <c r="BD286" s="50"/>
      <c r="BE286" s="54"/>
      <c r="BF286" s="57"/>
      <c r="BG286" s="50"/>
      <c r="BH286" s="54"/>
      <c r="BI286" s="54"/>
      <c r="BJ286" s="50"/>
      <c r="BK286" s="50"/>
    </row>
    <row r="287" customFormat="false" ht="15" hidden="false" customHeight="false" outlineLevel="0" collapsed="false">
      <c r="A287" s="49" t="str">
        <f aca="false">IF(B287="","","PC-"&amp;TEXT(ROW()-2,"000"))</f>
        <v/>
      </c>
      <c r="B287" s="50"/>
      <c r="C287" s="50"/>
      <c r="D287" s="51"/>
      <c r="E287" s="51"/>
      <c r="F287" s="51"/>
      <c r="G287" s="50"/>
      <c r="H287" s="50"/>
      <c r="I287" s="50"/>
      <c r="J287" s="51"/>
      <c r="K287" s="50"/>
      <c r="L287" s="50"/>
      <c r="M287" s="50"/>
      <c r="N287" s="50"/>
      <c r="O287" s="52"/>
      <c r="P287" s="50"/>
      <c r="Q287" s="52"/>
      <c r="R287" s="52"/>
      <c r="S287" s="49" t="str">
        <f aca="false">IF(B287="","",IF(OR(O287="",R287=""),"—",IF(O287&lt;=R287,"⚠ RÉAPPRO","OK")))</f>
        <v/>
      </c>
      <c r="T287" s="50"/>
      <c r="U287" s="50"/>
      <c r="V287" s="50"/>
      <c r="W287" s="50"/>
      <c r="X287" s="50"/>
      <c r="Y287" s="53" t="str">
        <f aca="false">IF(B287="","",IF(X287="","—",IF(X287="Non classé","Non classé",IFERROR(INDEX(RefH_Classe,MATCH(TRIM(LEFT(X287,FIND(",",X287&amp;",")-1)),RefH_Code,0)),"Code H inconnu"))))</f>
        <v/>
      </c>
      <c r="Z287" s="50"/>
      <c r="AA287" s="50"/>
      <c r="AB287" s="51"/>
      <c r="AC287" s="51"/>
      <c r="AD287" s="51"/>
      <c r="AE287" s="51"/>
      <c r="AF287" s="50"/>
      <c r="AG287" s="51"/>
      <c r="AH287" s="54"/>
      <c r="AI287" s="51"/>
      <c r="AJ287" s="55" t="str">
        <f aca="false">IF(AH287="","",EDATE(AH287,60))</f>
        <v/>
      </c>
      <c r="AK287" s="49" t="str">
        <f aca="true">IF(B287="","",IF(OR(AG287="Non",AH287=""),"FDS ABSENTE",IF(TODAY()&gt;=EDATE(AH287,60),"EXPIRÉE",IF(TODAY()&gt;=EDATE(AH287,54),"À RENOUVELER","CONFORME"))))</f>
        <v/>
      </c>
      <c r="AL287" s="50"/>
      <c r="AM287" s="54"/>
      <c r="AN287" s="54"/>
      <c r="AO287" s="50"/>
      <c r="AP287" s="50"/>
      <c r="AQ287" s="50"/>
      <c r="AR287" s="50"/>
      <c r="AS287" s="50"/>
      <c r="AT287" s="50"/>
      <c r="AU287" s="50"/>
      <c r="AV287" s="50"/>
      <c r="AW287" s="52"/>
      <c r="AX287" s="52"/>
      <c r="AY287" s="56" t="str">
        <f aca="false">IF(OR(AW287="",AX287=""),"",AW287*AX287)</f>
        <v/>
      </c>
      <c r="AZ287" s="52"/>
      <c r="BA287" s="56" t="str">
        <f aca="false">IF(AY287="","",IF(AZ287="",AY287,ROUNDUP(AY287/AZ287,0)))</f>
        <v/>
      </c>
      <c r="BB287" s="49" t="str">
        <f aca="false">IF(BA287="","",IF(BA287&gt;=15,"P1 – Critique",IF(BA287&gt;=8,"P2 – Élevée",IF(BA287&gt;=4,"P3 – Modérée","P4 – Faible"))))</f>
        <v/>
      </c>
      <c r="BC287" s="50"/>
      <c r="BD287" s="50"/>
      <c r="BE287" s="54"/>
      <c r="BF287" s="57"/>
      <c r="BG287" s="50"/>
      <c r="BH287" s="54"/>
      <c r="BI287" s="54"/>
      <c r="BJ287" s="50"/>
      <c r="BK287" s="50"/>
    </row>
    <row r="288" customFormat="false" ht="15" hidden="false" customHeight="false" outlineLevel="0" collapsed="false">
      <c r="A288" s="49" t="str">
        <f aca="false">IF(B288="","","PC-"&amp;TEXT(ROW()-2,"000"))</f>
        <v/>
      </c>
      <c r="B288" s="50"/>
      <c r="C288" s="50"/>
      <c r="D288" s="51"/>
      <c r="E288" s="51"/>
      <c r="F288" s="51"/>
      <c r="G288" s="50"/>
      <c r="H288" s="50"/>
      <c r="I288" s="50"/>
      <c r="J288" s="51"/>
      <c r="K288" s="50"/>
      <c r="L288" s="50"/>
      <c r="M288" s="50"/>
      <c r="N288" s="50"/>
      <c r="O288" s="52"/>
      <c r="P288" s="50"/>
      <c r="Q288" s="52"/>
      <c r="R288" s="52"/>
      <c r="S288" s="49" t="str">
        <f aca="false">IF(B288="","",IF(OR(O288="",R288=""),"—",IF(O288&lt;=R288,"⚠ RÉAPPRO","OK")))</f>
        <v/>
      </c>
      <c r="T288" s="50"/>
      <c r="U288" s="50"/>
      <c r="V288" s="50"/>
      <c r="W288" s="50"/>
      <c r="X288" s="50"/>
      <c r="Y288" s="53" t="str">
        <f aca="false">IF(B288="","",IF(X288="","—",IF(X288="Non classé","Non classé",IFERROR(INDEX(RefH_Classe,MATCH(TRIM(LEFT(X288,FIND(",",X288&amp;",")-1)),RefH_Code,0)),"Code H inconnu"))))</f>
        <v/>
      </c>
      <c r="Z288" s="50"/>
      <c r="AA288" s="50"/>
      <c r="AB288" s="51"/>
      <c r="AC288" s="51"/>
      <c r="AD288" s="51"/>
      <c r="AE288" s="51"/>
      <c r="AF288" s="50"/>
      <c r="AG288" s="51"/>
      <c r="AH288" s="54"/>
      <c r="AI288" s="51"/>
      <c r="AJ288" s="55" t="str">
        <f aca="false">IF(AH288="","",EDATE(AH288,60))</f>
        <v/>
      </c>
      <c r="AK288" s="49" t="str">
        <f aca="true">IF(B288="","",IF(OR(AG288="Non",AH288=""),"FDS ABSENTE",IF(TODAY()&gt;=EDATE(AH288,60),"EXPIRÉE",IF(TODAY()&gt;=EDATE(AH288,54),"À RENOUVELER","CONFORME"))))</f>
        <v/>
      </c>
      <c r="AL288" s="50"/>
      <c r="AM288" s="54"/>
      <c r="AN288" s="54"/>
      <c r="AO288" s="50"/>
      <c r="AP288" s="50"/>
      <c r="AQ288" s="50"/>
      <c r="AR288" s="50"/>
      <c r="AS288" s="50"/>
      <c r="AT288" s="50"/>
      <c r="AU288" s="50"/>
      <c r="AV288" s="50"/>
      <c r="AW288" s="52"/>
      <c r="AX288" s="52"/>
      <c r="AY288" s="56" t="str">
        <f aca="false">IF(OR(AW288="",AX288=""),"",AW288*AX288)</f>
        <v/>
      </c>
      <c r="AZ288" s="52"/>
      <c r="BA288" s="56" t="str">
        <f aca="false">IF(AY288="","",IF(AZ288="",AY288,ROUNDUP(AY288/AZ288,0)))</f>
        <v/>
      </c>
      <c r="BB288" s="49" t="str">
        <f aca="false">IF(BA288="","",IF(BA288&gt;=15,"P1 – Critique",IF(BA288&gt;=8,"P2 – Élevée",IF(BA288&gt;=4,"P3 – Modérée","P4 – Faible"))))</f>
        <v/>
      </c>
      <c r="BC288" s="50"/>
      <c r="BD288" s="50"/>
      <c r="BE288" s="54"/>
      <c r="BF288" s="57"/>
      <c r="BG288" s="50"/>
      <c r="BH288" s="54"/>
      <c r="BI288" s="54"/>
      <c r="BJ288" s="50"/>
      <c r="BK288" s="50"/>
    </row>
    <row r="289" customFormat="false" ht="15" hidden="false" customHeight="false" outlineLevel="0" collapsed="false">
      <c r="A289" s="49" t="str">
        <f aca="false">IF(B289="","","PC-"&amp;TEXT(ROW()-2,"000"))</f>
        <v/>
      </c>
      <c r="B289" s="50"/>
      <c r="C289" s="50"/>
      <c r="D289" s="51"/>
      <c r="E289" s="51"/>
      <c r="F289" s="51"/>
      <c r="G289" s="50"/>
      <c r="H289" s="50"/>
      <c r="I289" s="50"/>
      <c r="J289" s="51"/>
      <c r="K289" s="50"/>
      <c r="L289" s="50"/>
      <c r="M289" s="50"/>
      <c r="N289" s="50"/>
      <c r="O289" s="52"/>
      <c r="P289" s="50"/>
      <c r="Q289" s="52"/>
      <c r="R289" s="52"/>
      <c r="S289" s="49" t="str">
        <f aca="false">IF(B289="","",IF(OR(O289="",R289=""),"—",IF(O289&lt;=R289,"⚠ RÉAPPRO","OK")))</f>
        <v/>
      </c>
      <c r="T289" s="50"/>
      <c r="U289" s="50"/>
      <c r="V289" s="50"/>
      <c r="W289" s="50"/>
      <c r="X289" s="50"/>
      <c r="Y289" s="53" t="str">
        <f aca="false">IF(B289="","",IF(X289="","—",IF(X289="Non classé","Non classé",IFERROR(INDEX(RefH_Classe,MATCH(TRIM(LEFT(X289,FIND(",",X289&amp;",")-1)),RefH_Code,0)),"Code H inconnu"))))</f>
        <v/>
      </c>
      <c r="Z289" s="50"/>
      <c r="AA289" s="50"/>
      <c r="AB289" s="51"/>
      <c r="AC289" s="51"/>
      <c r="AD289" s="51"/>
      <c r="AE289" s="51"/>
      <c r="AF289" s="50"/>
      <c r="AG289" s="51"/>
      <c r="AH289" s="54"/>
      <c r="AI289" s="51"/>
      <c r="AJ289" s="55" t="str">
        <f aca="false">IF(AH289="","",EDATE(AH289,60))</f>
        <v/>
      </c>
      <c r="AK289" s="49" t="str">
        <f aca="true">IF(B289="","",IF(OR(AG289="Non",AH289=""),"FDS ABSENTE",IF(TODAY()&gt;=EDATE(AH289,60),"EXPIRÉE",IF(TODAY()&gt;=EDATE(AH289,54),"À RENOUVELER","CONFORME"))))</f>
        <v/>
      </c>
      <c r="AL289" s="50"/>
      <c r="AM289" s="54"/>
      <c r="AN289" s="54"/>
      <c r="AO289" s="50"/>
      <c r="AP289" s="50"/>
      <c r="AQ289" s="50"/>
      <c r="AR289" s="50"/>
      <c r="AS289" s="50"/>
      <c r="AT289" s="50"/>
      <c r="AU289" s="50"/>
      <c r="AV289" s="50"/>
      <c r="AW289" s="52"/>
      <c r="AX289" s="52"/>
      <c r="AY289" s="56" t="str">
        <f aca="false">IF(OR(AW289="",AX289=""),"",AW289*AX289)</f>
        <v/>
      </c>
      <c r="AZ289" s="52"/>
      <c r="BA289" s="56" t="str">
        <f aca="false">IF(AY289="","",IF(AZ289="",AY289,ROUNDUP(AY289/AZ289,0)))</f>
        <v/>
      </c>
      <c r="BB289" s="49" t="str">
        <f aca="false">IF(BA289="","",IF(BA289&gt;=15,"P1 – Critique",IF(BA289&gt;=8,"P2 – Élevée",IF(BA289&gt;=4,"P3 – Modérée","P4 – Faible"))))</f>
        <v/>
      </c>
      <c r="BC289" s="50"/>
      <c r="BD289" s="50"/>
      <c r="BE289" s="54"/>
      <c r="BF289" s="57"/>
      <c r="BG289" s="50"/>
      <c r="BH289" s="54"/>
      <c r="BI289" s="54"/>
      <c r="BJ289" s="50"/>
      <c r="BK289" s="50"/>
    </row>
    <row r="290" customFormat="false" ht="15" hidden="false" customHeight="false" outlineLevel="0" collapsed="false">
      <c r="A290" s="49" t="str">
        <f aca="false">IF(B290="","","PC-"&amp;TEXT(ROW()-2,"000"))</f>
        <v/>
      </c>
      <c r="B290" s="50"/>
      <c r="C290" s="50"/>
      <c r="D290" s="51"/>
      <c r="E290" s="51"/>
      <c r="F290" s="51"/>
      <c r="G290" s="50"/>
      <c r="H290" s="50"/>
      <c r="I290" s="50"/>
      <c r="J290" s="51"/>
      <c r="K290" s="50"/>
      <c r="L290" s="50"/>
      <c r="M290" s="50"/>
      <c r="N290" s="50"/>
      <c r="O290" s="52"/>
      <c r="P290" s="50"/>
      <c r="Q290" s="52"/>
      <c r="R290" s="52"/>
      <c r="S290" s="49" t="str">
        <f aca="false">IF(B290="","",IF(OR(O290="",R290=""),"—",IF(O290&lt;=R290,"⚠ RÉAPPRO","OK")))</f>
        <v/>
      </c>
      <c r="T290" s="50"/>
      <c r="U290" s="50"/>
      <c r="V290" s="50"/>
      <c r="W290" s="50"/>
      <c r="X290" s="50"/>
      <c r="Y290" s="53" t="str">
        <f aca="false">IF(B290="","",IF(X290="","—",IF(X290="Non classé","Non classé",IFERROR(INDEX(RefH_Classe,MATCH(TRIM(LEFT(X290,FIND(",",X290&amp;",")-1)),RefH_Code,0)),"Code H inconnu"))))</f>
        <v/>
      </c>
      <c r="Z290" s="50"/>
      <c r="AA290" s="50"/>
      <c r="AB290" s="51"/>
      <c r="AC290" s="51"/>
      <c r="AD290" s="51"/>
      <c r="AE290" s="51"/>
      <c r="AF290" s="50"/>
      <c r="AG290" s="51"/>
      <c r="AH290" s="54"/>
      <c r="AI290" s="51"/>
      <c r="AJ290" s="55" t="str">
        <f aca="false">IF(AH290="","",EDATE(AH290,60))</f>
        <v/>
      </c>
      <c r="AK290" s="49" t="str">
        <f aca="true">IF(B290="","",IF(OR(AG290="Non",AH290=""),"FDS ABSENTE",IF(TODAY()&gt;=EDATE(AH290,60),"EXPIRÉE",IF(TODAY()&gt;=EDATE(AH290,54),"À RENOUVELER","CONFORME"))))</f>
        <v/>
      </c>
      <c r="AL290" s="50"/>
      <c r="AM290" s="54"/>
      <c r="AN290" s="54"/>
      <c r="AO290" s="50"/>
      <c r="AP290" s="50"/>
      <c r="AQ290" s="50"/>
      <c r="AR290" s="50"/>
      <c r="AS290" s="50"/>
      <c r="AT290" s="50"/>
      <c r="AU290" s="50"/>
      <c r="AV290" s="50"/>
      <c r="AW290" s="52"/>
      <c r="AX290" s="52"/>
      <c r="AY290" s="56" t="str">
        <f aca="false">IF(OR(AW290="",AX290=""),"",AW290*AX290)</f>
        <v/>
      </c>
      <c r="AZ290" s="52"/>
      <c r="BA290" s="56" t="str">
        <f aca="false">IF(AY290="","",IF(AZ290="",AY290,ROUNDUP(AY290/AZ290,0)))</f>
        <v/>
      </c>
      <c r="BB290" s="49" t="str">
        <f aca="false">IF(BA290="","",IF(BA290&gt;=15,"P1 – Critique",IF(BA290&gt;=8,"P2 – Élevée",IF(BA290&gt;=4,"P3 – Modérée","P4 – Faible"))))</f>
        <v/>
      </c>
      <c r="BC290" s="50"/>
      <c r="BD290" s="50"/>
      <c r="BE290" s="54"/>
      <c r="BF290" s="57"/>
      <c r="BG290" s="50"/>
      <c r="BH290" s="54"/>
      <c r="BI290" s="54"/>
      <c r="BJ290" s="50"/>
      <c r="BK290" s="50"/>
    </row>
    <row r="291" customFormat="false" ht="15" hidden="false" customHeight="false" outlineLevel="0" collapsed="false">
      <c r="A291" s="49" t="str">
        <f aca="false">IF(B291="","","PC-"&amp;TEXT(ROW()-2,"000"))</f>
        <v/>
      </c>
      <c r="B291" s="50"/>
      <c r="C291" s="50"/>
      <c r="D291" s="51"/>
      <c r="E291" s="51"/>
      <c r="F291" s="51"/>
      <c r="G291" s="50"/>
      <c r="H291" s="50"/>
      <c r="I291" s="50"/>
      <c r="J291" s="51"/>
      <c r="K291" s="50"/>
      <c r="L291" s="50"/>
      <c r="M291" s="50"/>
      <c r="N291" s="50"/>
      <c r="O291" s="52"/>
      <c r="P291" s="50"/>
      <c r="Q291" s="52"/>
      <c r="R291" s="52"/>
      <c r="S291" s="49" t="str">
        <f aca="false">IF(B291="","",IF(OR(O291="",R291=""),"—",IF(O291&lt;=R291,"⚠ RÉAPPRO","OK")))</f>
        <v/>
      </c>
      <c r="T291" s="50"/>
      <c r="U291" s="50"/>
      <c r="V291" s="50"/>
      <c r="W291" s="50"/>
      <c r="X291" s="50"/>
      <c r="Y291" s="53" t="str">
        <f aca="false">IF(B291="","",IF(X291="","—",IF(X291="Non classé","Non classé",IFERROR(INDEX(RefH_Classe,MATCH(TRIM(LEFT(X291,FIND(",",X291&amp;",")-1)),RefH_Code,0)),"Code H inconnu"))))</f>
        <v/>
      </c>
      <c r="Z291" s="50"/>
      <c r="AA291" s="50"/>
      <c r="AB291" s="51"/>
      <c r="AC291" s="51"/>
      <c r="AD291" s="51"/>
      <c r="AE291" s="51"/>
      <c r="AF291" s="50"/>
      <c r="AG291" s="51"/>
      <c r="AH291" s="54"/>
      <c r="AI291" s="51"/>
      <c r="AJ291" s="55" t="str">
        <f aca="false">IF(AH291="","",EDATE(AH291,60))</f>
        <v/>
      </c>
      <c r="AK291" s="49" t="str">
        <f aca="true">IF(B291="","",IF(OR(AG291="Non",AH291=""),"FDS ABSENTE",IF(TODAY()&gt;=EDATE(AH291,60),"EXPIRÉE",IF(TODAY()&gt;=EDATE(AH291,54),"À RENOUVELER","CONFORME"))))</f>
        <v/>
      </c>
      <c r="AL291" s="50"/>
      <c r="AM291" s="54"/>
      <c r="AN291" s="54"/>
      <c r="AO291" s="50"/>
      <c r="AP291" s="50"/>
      <c r="AQ291" s="50"/>
      <c r="AR291" s="50"/>
      <c r="AS291" s="50"/>
      <c r="AT291" s="50"/>
      <c r="AU291" s="50"/>
      <c r="AV291" s="50"/>
      <c r="AW291" s="52"/>
      <c r="AX291" s="52"/>
      <c r="AY291" s="56" t="str">
        <f aca="false">IF(OR(AW291="",AX291=""),"",AW291*AX291)</f>
        <v/>
      </c>
      <c r="AZ291" s="52"/>
      <c r="BA291" s="56" t="str">
        <f aca="false">IF(AY291="","",IF(AZ291="",AY291,ROUNDUP(AY291/AZ291,0)))</f>
        <v/>
      </c>
      <c r="BB291" s="49" t="str">
        <f aca="false">IF(BA291="","",IF(BA291&gt;=15,"P1 – Critique",IF(BA291&gt;=8,"P2 – Élevée",IF(BA291&gt;=4,"P3 – Modérée","P4 – Faible"))))</f>
        <v/>
      </c>
      <c r="BC291" s="50"/>
      <c r="BD291" s="50"/>
      <c r="BE291" s="54"/>
      <c r="BF291" s="57"/>
      <c r="BG291" s="50"/>
      <c r="BH291" s="54"/>
      <c r="BI291" s="54"/>
      <c r="BJ291" s="50"/>
      <c r="BK291" s="50"/>
    </row>
    <row r="292" customFormat="false" ht="15" hidden="false" customHeight="false" outlineLevel="0" collapsed="false">
      <c r="A292" s="49" t="str">
        <f aca="false">IF(B292="","","PC-"&amp;TEXT(ROW()-2,"000"))</f>
        <v/>
      </c>
      <c r="B292" s="50"/>
      <c r="C292" s="50"/>
      <c r="D292" s="51"/>
      <c r="E292" s="51"/>
      <c r="F292" s="51"/>
      <c r="G292" s="50"/>
      <c r="H292" s="50"/>
      <c r="I292" s="50"/>
      <c r="J292" s="51"/>
      <c r="K292" s="50"/>
      <c r="L292" s="50"/>
      <c r="M292" s="50"/>
      <c r="N292" s="50"/>
      <c r="O292" s="52"/>
      <c r="P292" s="50"/>
      <c r="Q292" s="52"/>
      <c r="R292" s="52"/>
      <c r="S292" s="49" t="str">
        <f aca="false">IF(B292="","",IF(OR(O292="",R292=""),"—",IF(O292&lt;=R292,"⚠ RÉAPPRO","OK")))</f>
        <v/>
      </c>
      <c r="T292" s="50"/>
      <c r="U292" s="50"/>
      <c r="V292" s="50"/>
      <c r="W292" s="50"/>
      <c r="X292" s="50"/>
      <c r="Y292" s="53" t="str">
        <f aca="false">IF(B292="","",IF(X292="","—",IF(X292="Non classé","Non classé",IFERROR(INDEX(RefH_Classe,MATCH(TRIM(LEFT(X292,FIND(",",X292&amp;",")-1)),RefH_Code,0)),"Code H inconnu"))))</f>
        <v/>
      </c>
      <c r="Z292" s="50"/>
      <c r="AA292" s="50"/>
      <c r="AB292" s="51"/>
      <c r="AC292" s="51"/>
      <c r="AD292" s="51"/>
      <c r="AE292" s="51"/>
      <c r="AF292" s="50"/>
      <c r="AG292" s="51"/>
      <c r="AH292" s="54"/>
      <c r="AI292" s="51"/>
      <c r="AJ292" s="55" t="str">
        <f aca="false">IF(AH292="","",EDATE(AH292,60))</f>
        <v/>
      </c>
      <c r="AK292" s="49" t="str">
        <f aca="true">IF(B292="","",IF(OR(AG292="Non",AH292=""),"FDS ABSENTE",IF(TODAY()&gt;=EDATE(AH292,60),"EXPIRÉE",IF(TODAY()&gt;=EDATE(AH292,54),"À RENOUVELER","CONFORME"))))</f>
        <v/>
      </c>
      <c r="AL292" s="50"/>
      <c r="AM292" s="54"/>
      <c r="AN292" s="54"/>
      <c r="AO292" s="50"/>
      <c r="AP292" s="50"/>
      <c r="AQ292" s="50"/>
      <c r="AR292" s="50"/>
      <c r="AS292" s="50"/>
      <c r="AT292" s="50"/>
      <c r="AU292" s="50"/>
      <c r="AV292" s="50"/>
      <c r="AW292" s="52"/>
      <c r="AX292" s="52"/>
      <c r="AY292" s="56" t="str">
        <f aca="false">IF(OR(AW292="",AX292=""),"",AW292*AX292)</f>
        <v/>
      </c>
      <c r="AZ292" s="52"/>
      <c r="BA292" s="56" t="str">
        <f aca="false">IF(AY292="","",IF(AZ292="",AY292,ROUNDUP(AY292/AZ292,0)))</f>
        <v/>
      </c>
      <c r="BB292" s="49" t="str">
        <f aca="false">IF(BA292="","",IF(BA292&gt;=15,"P1 – Critique",IF(BA292&gt;=8,"P2 – Élevée",IF(BA292&gt;=4,"P3 – Modérée","P4 – Faible"))))</f>
        <v/>
      </c>
      <c r="BC292" s="50"/>
      <c r="BD292" s="50"/>
      <c r="BE292" s="54"/>
      <c r="BF292" s="57"/>
      <c r="BG292" s="50"/>
      <c r="BH292" s="54"/>
      <c r="BI292" s="54"/>
      <c r="BJ292" s="50"/>
      <c r="BK292" s="50"/>
    </row>
    <row r="293" customFormat="false" ht="15" hidden="false" customHeight="false" outlineLevel="0" collapsed="false">
      <c r="A293" s="49" t="str">
        <f aca="false">IF(B293="","","PC-"&amp;TEXT(ROW()-2,"000"))</f>
        <v/>
      </c>
      <c r="B293" s="50"/>
      <c r="C293" s="50"/>
      <c r="D293" s="51"/>
      <c r="E293" s="51"/>
      <c r="F293" s="51"/>
      <c r="G293" s="50"/>
      <c r="H293" s="50"/>
      <c r="I293" s="50"/>
      <c r="J293" s="51"/>
      <c r="K293" s="50"/>
      <c r="L293" s="50"/>
      <c r="M293" s="50"/>
      <c r="N293" s="50"/>
      <c r="O293" s="52"/>
      <c r="P293" s="50"/>
      <c r="Q293" s="52"/>
      <c r="R293" s="52"/>
      <c r="S293" s="49" t="str">
        <f aca="false">IF(B293="","",IF(OR(O293="",R293=""),"—",IF(O293&lt;=R293,"⚠ RÉAPPRO","OK")))</f>
        <v/>
      </c>
      <c r="T293" s="50"/>
      <c r="U293" s="50"/>
      <c r="V293" s="50"/>
      <c r="W293" s="50"/>
      <c r="X293" s="50"/>
      <c r="Y293" s="53" t="str">
        <f aca="false">IF(B293="","",IF(X293="","—",IF(X293="Non classé","Non classé",IFERROR(INDEX(RefH_Classe,MATCH(TRIM(LEFT(X293,FIND(",",X293&amp;",")-1)),RefH_Code,0)),"Code H inconnu"))))</f>
        <v/>
      </c>
      <c r="Z293" s="50"/>
      <c r="AA293" s="50"/>
      <c r="AB293" s="51"/>
      <c r="AC293" s="51"/>
      <c r="AD293" s="51"/>
      <c r="AE293" s="51"/>
      <c r="AF293" s="50"/>
      <c r="AG293" s="51"/>
      <c r="AH293" s="54"/>
      <c r="AI293" s="51"/>
      <c r="AJ293" s="55" t="str">
        <f aca="false">IF(AH293="","",EDATE(AH293,60))</f>
        <v/>
      </c>
      <c r="AK293" s="49" t="str">
        <f aca="true">IF(B293="","",IF(OR(AG293="Non",AH293=""),"FDS ABSENTE",IF(TODAY()&gt;=EDATE(AH293,60),"EXPIRÉE",IF(TODAY()&gt;=EDATE(AH293,54),"À RENOUVELER","CONFORME"))))</f>
        <v/>
      </c>
      <c r="AL293" s="50"/>
      <c r="AM293" s="54"/>
      <c r="AN293" s="54"/>
      <c r="AO293" s="50"/>
      <c r="AP293" s="50"/>
      <c r="AQ293" s="50"/>
      <c r="AR293" s="50"/>
      <c r="AS293" s="50"/>
      <c r="AT293" s="50"/>
      <c r="AU293" s="50"/>
      <c r="AV293" s="50"/>
      <c r="AW293" s="52"/>
      <c r="AX293" s="52"/>
      <c r="AY293" s="56" t="str">
        <f aca="false">IF(OR(AW293="",AX293=""),"",AW293*AX293)</f>
        <v/>
      </c>
      <c r="AZ293" s="52"/>
      <c r="BA293" s="56" t="str">
        <f aca="false">IF(AY293="","",IF(AZ293="",AY293,ROUNDUP(AY293/AZ293,0)))</f>
        <v/>
      </c>
      <c r="BB293" s="49" t="str">
        <f aca="false">IF(BA293="","",IF(BA293&gt;=15,"P1 – Critique",IF(BA293&gt;=8,"P2 – Élevée",IF(BA293&gt;=4,"P3 – Modérée","P4 – Faible"))))</f>
        <v/>
      </c>
      <c r="BC293" s="50"/>
      <c r="BD293" s="50"/>
      <c r="BE293" s="54"/>
      <c r="BF293" s="57"/>
      <c r="BG293" s="50"/>
      <c r="BH293" s="54"/>
      <c r="BI293" s="54"/>
      <c r="BJ293" s="50"/>
      <c r="BK293" s="50"/>
    </row>
    <row r="294" customFormat="false" ht="15" hidden="false" customHeight="false" outlineLevel="0" collapsed="false">
      <c r="A294" s="49" t="str">
        <f aca="false">IF(B294="","","PC-"&amp;TEXT(ROW()-2,"000"))</f>
        <v/>
      </c>
      <c r="B294" s="50"/>
      <c r="C294" s="50"/>
      <c r="D294" s="51"/>
      <c r="E294" s="51"/>
      <c r="F294" s="51"/>
      <c r="G294" s="50"/>
      <c r="H294" s="50"/>
      <c r="I294" s="50"/>
      <c r="J294" s="51"/>
      <c r="K294" s="50"/>
      <c r="L294" s="50"/>
      <c r="M294" s="50"/>
      <c r="N294" s="50"/>
      <c r="O294" s="52"/>
      <c r="P294" s="50"/>
      <c r="Q294" s="52"/>
      <c r="R294" s="52"/>
      <c r="S294" s="49" t="str">
        <f aca="false">IF(B294="","",IF(OR(O294="",R294=""),"—",IF(O294&lt;=R294,"⚠ RÉAPPRO","OK")))</f>
        <v/>
      </c>
      <c r="T294" s="50"/>
      <c r="U294" s="50"/>
      <c r="V294" s="50"/>
      <c r="W294" s="50"/>
      <c r="X294" s="50"/>
      <c r="Y294" s="53" t="str">
        <f aca="false">IF(B294="","",IF(X294="","—",IF(X294="Non classé","Non classé",IFERROR(INDEX(RefH_Classe,MATCH(TRIM(LEFT(X294,FIND(",",X294&amp;",")-1)),RefH_Code,0)),"Code H inconnu"))))</f>
        <v/>
      </c>
      <c r="Z294" s="50"/>
      <c r="AA294" s="50"/>
      <c r="AB294" s="51"/>
      <c r="AC294" s="51"/>
      <c r="AD294" s="51"/>
      <c r="AE294" s="51"/>
      <c r="AF294" s="50"/>
      <c r="AG294" s="51"/>
      <c r="AH294" s="54"/>
      <c r="AI294" s="51"/>
      <c r="AJ294" s="55" t="str">
        <f aca="false">IF(AH294="","",EDATE(AH294,60))</f>
        <v/>
      </c>
      <c r="AK294" s="49" t="str">
        <f aca="true">IF(B294="","",IF(OR(AG294="Non",AH294=""),"FDS ABSENTE",IF(TODAY()&gt;=EDATE(AH294,60),"EXPIRÉE",IF(TODAY()&gt;=EDATE(AH294,54),"À RENOUVELER","CONFORME"))))</f>
        <v/>
      </c>
      <c r="AL294" s="50"/>
      <c r="AM294" s="54"/>
      <c r="AN294" s="54"/>
      <c r="AO294" s="50"/>
      <c r="AP294" s="50"/>
      <c r="AQ294" s="50"/>
      <c r="AR294" s="50"/>
      <c r="AS294" s="50"/>
      <c r="AT294" s="50"/>
      <c r="AU294" s="50"/>
      <c r="AV294" s="50"/>
      <c r="AW294" s="52"/>
      <c r="AX294" s="52"/>
      <c r="AY294" s="56" t="str">
        <f aca="false">IF(OR(AW294="",AX294=""),"",AW294*AX294)</f>
        <v/>
      </c>
      <c r="AZ294" s="52"/>
      <c r="BA294" s="56" t="str">
        <f aca="false">IF(AY294="","",IF(AZ294="",AY294,ROUNDUP(AY294/AZ294,0)))</f>
        <v/>
      </c>
      <c r="BB294" s="49" t="str">
        <f aca="false">IF(BA294="","",IF(BA294&gt;=15,"P1 – Critique",IF(BA294&gt;=8,"P2 – Élevée",IF(BA294&gt;=4,"P3 – Modérée","P4 – Faible"))))</f>
        <v/>
      </c>
      <c r="BC294" s="50"/>
      <c r="BD294" s="50"/>
      <c r="BE294" s="54"/>
      <c r="BF294" s="57"/>
      <c r="BG294" s="50"/>
      <c r="BH294" s="54"/>
      <c r="BI294" s="54"/>
      <c r="BJ294" s="50"/>
      <c r="BK294" s="50"/>
    </row>
    <row r="295" customFormat="false" ht="15" hidden="false" customHeight="false" outlineLevel="0" collapsed="false">
      <c r="A295" s="49" t="str">
        <f aca="false">IF(B295="","","PC-"&amp;TEXT(ROW()-2,"000"))</f>
        <v/>
      </c>
      <c r="B295" s="50"/>
      <c r="C295" s="50"/>
      <c r="D295" s="51"/>
      <c r="E295" s="51"/>
      <c r="F295" s="51"/>
      <c r="G295" s="50"/>
      <c r="H295" s="50"/>
      <c r="I295" s="50"/>
      <c r="J295" s="51"/>
      <c r="K295" s="50"/>
      <c r="L295" s="50"/>
      <c r="M295" s="50"/>
      <c r="N295" s="50"/>
      <c r="O295" s="52"/>
      <c r="P295" s="50"/>
      <c r="Q295" s="52"/>
      <c r="R295" s="52"/>
      <c r="S295" s="49" t="str">
        <f aca="false">IF(B295="","",IF(OR(O295="",R295=""),"—",IF(O295&lt;=R295,"⚠ RÉAPPRO","OK")))</f>
        <v/>
      </c>
      <c r="T295" s="50"/>
      <c r="U295" s="50"/>
      <c r="V295" s="50"/>
      <c r="W295" s="50"/>
      <c r="X295" s="50"/>
      <c r="Y295" s="53" t="str">
        <f aca="false">IF(B295="","",IF(X295="","—",IF(X295="Non classé","Non classé",IFERROR(INDEX(RefH_Classe,MATCH(TRIM(LEFT(X295,FIND(",",X295&amp;",")-1)),RefH_Code,0)),"Code H inconnu"))))</f>
        <v/>
      </c>
      <c r="Z295" s="50"/>
      <c r="AA295" s="50"/>
      <c r="AB295" s="51"/>
      <c r="AC295" s="51"/>
      <c r="AD295" s="51"/>
      <c r="AE295" s="51"/>
      <c r="AF295" s="50"/>
      <c r="AG295" s="51"/>
      <c r="AH295" s="54"/>
      <c r="AI295" s="51"/>
      <c r="AJ295" s="55" t="str">
        <f aca="false">IF(AH295="","",EDATE(AH295,60))</f>
        <v/>
      </c>
      <c r="AK295" s="49" t="str">
        <f aca="true">IF(B295="","",IF(OR(AG295="Non",AH295=""),"FDS ABSENTE",IF(TODAY()&gt;=EDATE(AH295,60),"EXPIRÉE",IF(TODAY()&gt;=EDATE(AH295,54),"À RENOUVELER","CONFORME"))))</f>
        <v/>
      </c>
      <c r="AL295" s="50"/>
      <c r="AM295" s="54"/>
      <c r="AN295" s="54"/>
      <c r="AO295" s="50"/>
      <c r="AP295" s="50"/>
      <c r="AQ295" s="50"/>
      <c r="AR295" s="50"/>
      <c r="AS295" s="50"/>
      <c r="AT295" s="50"/>
      <c r="AU295" s="50"/>
      <c r="AV295" s="50"/>
      <c r="AW295" s="52"/>
      <c r="AX295" s="52"/>
      <c r="AY295" s="56" t="str">
        <f aca="false">IF(OR(AW295="",AX295=""),"",AW295*AX295)</f>
        <v/>
      </c>
      <c r="AZ295" s="52"/>
      <c r="BA295" s="56" t="str">
        <f aca="false">IF(AY295="","",IF(AZ295="",AY295,ROUNDUP(AY295/AZ295,0)))</f>
        <v/>
      </c>
      <c r="BB295" s="49" t="str">
        <f aca="false">IF(BA295="","",IF(BA295&gt;=15,"P1 – Critique",IF(BA295&gt;=8,"P2 – Élevée",IF(BA295&gt;=4,"P3 – Modérée","P4 – Faible"))))</f>
        <v/>
      </c>
      <c r="BC295" s="50"/>
      <c r="BD295" s="50"/>
      <c r="BE295" s="54"/>
      <c r="BF295" s="57"/>
      <c r="BG295" s="50"/>
      <c r="BH295" s="54"/>
      <c r="BI295" s="54"/>
      <c r="BJ295" s="50"/>
      <c r="BK295" s="50"/>
    </row>
    <row r="296" customFormat="false" ht="15" hidden="false" customHeight="false" outlineLevel="0" collapsed="false">
      <c r="A296" s="49" t="str">
        <f aca="false">IF(B296="","","PC-"&amp;TEXT(ROW()-2,"000"))</f>
        <v/>
      </c>
      <c r="B296" s="50"/>
      <c r="C296" s="50"/>
      <c r="D296" s="51"/>
      <c r="E296" s="51"/>
      <c r="F296" s="51"/>
      <c r="G296" s="50"/>
      <c r="H296" s="50"/>
      <c r="I296" s="50"/>
      <c r="J296" s="51"/>
      <c r="K296" s="50"/>
      <c r="L296" s="50"/>
      <c r="M296" s="50"/>
      <c r="N296" s="50"/>
      <c r="O296" s="52"/>
      <c r="P296" s="50"/>
      <c r="Q296" s="52"/>
      <c r="R296" s="52"/>
      <c r="S296" s="49" t="str">
        <f aca="false">IF(B296="","",IF(OR(O296="",R296=""),"—",IF(O296&lt;=R296,"⚠ RÉAPPRO","OK")))</f>
        <v/>
      </c>
      <c r="T296" s="50"/>
      <c r="U296" s="50"/>
      <c r="V296" s="50"/>
      <c r="W296" s="50"/>
      <c r="X296" s="50"/>
      <c r="Y296" s="53" t="str">
        <f aca="false">IF(B296="","",IF(X296="","—",IF(X296="Non classé","Non classé",IFERROR(INDEX(RefH_Classe,MATCH(TRIM(LEFT(X296,FIND(",",X296&amp;",")-1)),RefH_Code,0)),"Code H inconnu"))))</f>
        <v/>
      </c>
      <c r="Z296" s="50"/>
      <c r="AA296" s="50"/>
      <c r="AB296" s="51"/>
      <c r="AC296" s="51"/>
      <c r="AD296" s="51"/>
      <c r="AE296" s="51"/>
      <c r="AF296" s="50"/>
      <c r="AG296" s="51"/>
      <c r="AH296" s="54"/>
      <c r="AI296" s="51"/>
      <c r="AJ296" s="55" t="str">
        <f aca="false">IF(AH296="","",EDATE(AH296,60))</f>
        <v/>
      </c>
      <c r="AK296" s="49" t="str">
        <f aca="true">IF(B296="","",IF(OR(AG296="Non",AH296=""),"FDS ABSENTE",IF(TODAY()&gt;=EDATE(AH296,60),"EXPIRÉE",IF(TODAY()&gt;=EDATE(AH296,54),"À RENOUVELER","CONFORME"))))</f>
        <v/>
      </c>
      <c r="AL296" s="50"/>
      <c r="AM296" s="54"/>
      <c r="AN296" s="54"/>
      <c r="AO296" s="50"/>
      <c r="AP296" s="50"/>
      <c r="AQ296" s="50"/>
      <c r="AR296" s="50"/>
      <c r="AS296" s="50"/>
      <c r="AT296" s="50"/>
      <c r="AU296" s="50"/>
      <c r="AV296" s="50"/>
      <c r="AW296" s="52"/>
      <c r="AX296" s="52"/>
      <c r="AY296" s="56" t="str">
        <f aca="false">IF(OR(AW296="",AX296=""),"",AW296*AX296)</f>
        <v/>
      </c>
      <c r="AZ296" s="52"/>
      <c r="BA296" s="56" t="str">
        <f aca="false">IF(AY296="","",IF(AZ296="",AY296,ROUNDUP(AY296/AZ296,0)))</f>
        <v/>
      </c>
      <c r="BB296" s="49" t="str">
        <f aca="false">IF(BA296="","",IF(BA296&gt;=15,"P1 – Critique",IF(BA296&gt;=8,"P2 – Élevée",IF(BA296&gt;=4,"P3 – Modérée","P4 – Faible"))))</f>
        <v/>
      </c>
      <c r="BC296" s="50"/>
      <c r="BD296" s="50"/>
      <c r="BE296" s="54"/>
      <c r="BF296" s="57"/>
      <c r="BG296" s="50"/>
      <c r="BH296" s="54"/>
      <c r="BI296" s="54"/>
      <c r="BJ296" s="50"/>
      <c r="BK296" s="50"/>
    </row>
    <row r="297" customFormat="false" ht="15" hidden="false" customHeight="false" outlineLevel="0" collapsed="false">
      <c r="A297" s="49" t="str">
        <f aca="false">IF(B297="","","PC-"&amp;TEXT(ROW()-2,"000"))</f>
        <v/>
      </c>
      <c r="B297" s="50"/>
      <c r="C297" s="50"/>
      <c r="D297" s="51"/>
      <c r="E297" s="51"/>
      <c r="F297" s="51"/>
      <c r="G297" s="50"/>
      <c r="H297" s="50"/>
      <c r="I297" s="50"/>
      <c r="J297" s="51"/>
      <c r="K297" s="50"/>
      <c r="L297" s="50"/>
      <c r="M297" s="50"/>
      <c r="N297" s="50"/>
      <c r="O297" s="52"/>
      <c r="P297" s="50"/>
      <c r="Q297" s="52"/>
      <c r="R297" s="52"/>
      <c r="S297" s="49" t="str">
        <f aca="false">IF(B297="","",IF(OR(O297="",R297=""),"—",IF(O297&lt;=R297,"⚠ RÉAPPRO","OK")))</f>
        <v/>
      </c>
      <c r="T297" s="50"/>
      <c r="U297" s="50"/>
      <c r="V297" s="50"/>
      <c r="W297" s="50"/>
      <c r="X297" s="50"/>
      <c r="Y297" s="53" t="str">
        <f aca="false">IF(B297="","",IF(X297="","—",IF(X297="Non classé","Non classé",IFERROR(INDEX(RefH_Classe,MATCH(TRIM(LEFT(X297,FIND(",",X297&amp;",")-1)),RefH_Code,0)),"Code H inconnu"))))</f>
        <v/>
      </c>
      <c r="Z297" s="50"/>
      <c r="AA297" s="50"/>
      <c r="AB297" s="51"/>
      <c r="AC297" s="51"/>
      <c r="AD297" s="51"/>
      <c r="AE297" s="51"/>
      <c r="AF297" s="50"/>
      <c r="AG297" s="51"/>
      <c r="AH297" s="54"/>
      <c r="AI297" s="51"/>
      <c r="AJ297" s="55" t="str">
        <f aca="false">IF(AH297="","",EDATE(AH297,60))</f>
        <v/>
      </c>
      <c r="AK297" s="49" t="str">
        <f aca="true">IF(B297="","",IF(OR(AG297="Non",AH297=""),"FDS ABSENTE",IF(TODAY()&gt;=EDATE(AH297,60),"EXPIRÉE",IF(TODAY()&gt;=EDATE(AH297,54),"À RENOUVELER","CONFORME"))))</f>
        <v/>
      </c>
      <c r="AL297" s="50"/>
      <c r="AM297" s="54"/>
      <c r="AN297" s="54"/>
      <c r="AO297" s="50"/>
      <c r="AP297" s="50"/>
      <c r="AQ297" s="50"/>
      <c r="AR297" s="50"/>
      <c r="AS297" s="50"/>
      <c r="AT297" s="50"/>
      <c r="AU297" s="50"/>
      <c r="AV297" s="50"/>
      <c r="AW297" s="52"/>
      <c r="AX297" s="52"/>
      <c r="AY297" s="56" t="str">
        <f aca="false">IF(OR(AW297="",AX297=""),"",AW297*AX297)</f>
        <v/>
      </c>
      <c r="AZ297" s="52"/>
      <c r="BA297" s="56" t="str">
        <f aca="false">IF(AY297="","",IF(AZ297="",AY297,ROUNDUP(AY297/AZ297,0)))</f>
        <v/>
      </c>
      <c r="BB297" s="49" t="str">
        <f aca="false">IF(BA297="","",IF(BA297&gt;=15,"P1 – Critique",IF(BA297&gt;=8,"P2 – Élevée",IF(BA297&gt;=4,"P3 – Modérée","P4 – Faible"))))</f>
        <v/>
      </c>
      <c r="BC297" s="50"/>
      <c r="BD297" s="50"/>
      <c r="BE297" s="54"/>
      <c r="BF297" s="57"/>
      <c r="BG297" s="50"/>
      <c r="BH297" s="54"/>
      <c r="BI297" s="54"/>
      <c r="BJ297" s="50"/>
      <c r="BK297" s="50"/>
    </row>
    <row r="298" customFormat="false" ht="15" hidden="false" customHeight="false" outlineLevel="0" collapsed="false">
      <c r="A298" s="49" t="str">
        <f aca="false">IF(B298="","","PC-"&amp;TEXT(ROW()-2,"000"))</f>
        <v/>
      </c>
      <c r="B298" s="50"/>
      <c r="C298" s="50"/>
      <c r="D298" s="51"/>
      <c r="E298" s="51"/>
      <c r="F298" s="51"/>
      <c r="G298" s="50"/>
      <c r="H298" s="50"/>
      <c r="I298" s="50"/>
      <c r="J298" s="51"/>
      <c r="K298" s="50"/>
      <c r="L298" s="50"/>
      <c r="M298" s="50"/>
      <c r="N298" s="50"/>
      <c r="O298" s="52"/>
      <c r="P298" s="50"/>
      <c r="Q298" s="52"/>
      <c r="R298" s="52"/>
      <c r="S298" s="49" t="str">
        <f aca="false">IF(B298="","",IF(OR(O298="",R298=""),"—",IF(O298&lt;=R298,"⚠ RÉAPPRO","OK")))</f>
        <v/>
      </c>
      <c r="T298" s="50"/>
      <c r="U298" s="50"/>
      <c r="V298" s="50"/>
      <c r="W298" s="50"/>
      <c r="X298" s="50"/>
      <c r="Y298" s="53" t="str">
        <f aca="false">IF(B298="","",IF(X298="","—",IF(X298="Non classé","Non classé",IFERROR(INDEX(RefH_Classe,MATCH(TRIM(LEFT(X298,FIND(",",X298&amp;",")-1)),RefH_Code,0)),"Code H inconnu"))))</f>
        <v/>
      </c>
      <c r="Z298" s="50"/>
      <c r="AA298" s="50"/>
      <c r="AB298" s="51"/>
      <c r="AC298" s="51"/>
      <c r="AD298" s="51"/>
      <c r="AE298" s="51"/>
      <c r="AF298" s="50"/>
      <c r="AG298" s="51"/>
      <c r="AH298" s="54"/>
      <c r="AI298" s="51"/>
      <c r="AJ298" s="55" t="str">
        <f aca="false">IF(AH298="","",EDATE(AH298,60))</f>
        <v/>
      </c>
      <c r="AK298" s="49" t="str">
        <f aca="true">IF(B298="","",IF(OR(AG298="Non",AH298=""),"FDS ABSENTE",IF(TODAY()&gt;=EDATE(AH298,60),"EXPIRÉE",IF(TODAY()&gt;=EDATE(AH298,54),"À RENOUVELER","CONFORME"))))</f>
        <v/>
      </c>
      <c r="AL298" s="50"/>
      <c r="AM298" s="54"/>
      <c r="AN298" s="54"/>
      <c r="AO298" s="50"/>
      <c r="AP298" s="50"/>
      <c r="AQ298" s="50"/>
      <c r="AR298" s="50"/>
      <c r="AS298" s="50"/>
      <c r="AT298" s="50"/>
      <c r="AU298" s="50"/>
      <c r="AV298" s="50"/>
      <c r="AW298" s="52"/>
      <c r="AX298" s="52"/>
      <c r="AY298" s="56" t="str">
        <f aca="false">IF(OR(AW298="",AX298=""),"",AW298*AX298)</f>
        <v/>
      </c>
      <c r="AZ298" s="52"/>
      <c r="BA298" s="56" t="str">
        <f aca="false">IF(AY298="","",IF(AZ298="",AY298,ROUNDUP(AY298/AZ298,0)))</f>
        <v/>
      </c>
      <c r="BB298" s="49" t="str">
        <f aca="false">IF(BA298="","",IF(BA298&gt;=15,"P1 – Critique",IF(BA298&gt;=8,"P2 – Élevée",IF(BA298&gt;=4,"P3 – Modérée","P4 – Faible"))))</f>
        <v/>
      </c>
      <c r="BC298" s="50"/>
      <c r="BD298" s="50"/>
      <c r="BE298" s="54"/>
      <c r="BF298" s="57"/>
      <c r="BG298" s="50"/>
      <c r="BH298" s="54"/>
      <c r="BI298" s="54"/>
      <c r="BJ298" s="50"/>
      <c r="BK298" s="50"/>
    </row>
    <row r="299" customFormat="false" ht="15" hidden="false" customHeight="false" outlineLevel="0" collapsed="false">
      <c r="A299" s="49" t="str">
        <f aca="false">IF(B299="","","PC-"&amp;TEXT(ROW()-2,"000"))</f>
        <v/>
      </c>
      <c r="B299" s="50"/>
      <c r="C299" s="50"/>
      <c r="D299" s="51"/>
      <c r="E299" s="51"/>
      <c r="F299" s="51"/>
      <c r="G299" s="50"/>
      <c r="H299" s="50"/>
      <c r="I299" s="50"/>
      <c r="J299" s="51"/>
      <c r="K299" s="50"/>
      <c r="L299" s="50"/>
      <c r="M299" s="50"/>
      <c r="N299" s="50"/>
      <c r="O299" s="52"/>
      <c r="P299" s="50"/>
      <c r="Q299" s="52"/>
      <c r="R299" s="52"/>
      <c r="S299" s="49" t="str">
        <f aca="false">IF(B299="","",IF(OR(O299="",R299=""),"—",IF(O299&lt;=R299,"⚠ RÉAPPRO","OK")))</f>
        <v/>
      </c>
      <c r="T299" s="50"/>
      <c r="U299" s="50"/>
      <c r="V299" s="50"/>
      <c r="W299" s="50"/>
      <c r="X299" s="50"/>
      <c r="Y299" s="53" t="str">
        <f aca="false">IF(B299="","",IF(X299="","—",IF(X299="Non classé","Non classé",IFERROR(INDEX(RefH_Classe,MATCH(TRIM(LEFT(X299,FIND(",",X299&amp;",")-1)),RefH_Code,0)),"Code H inconnu"))))</f>
        <v/>
      </c>
      <c r="Z299" s="50"/>
      <c r="AA299" s="50"/>
      <c r="AB299" s="51"/>
      <c r="AC299" s="51"/>
      <c r="AD299" s="51"/>
      <c r="AE299" s="51"/>
      <c r="AF299" s="50"/>
      <c r="AG299" s="51"/>
      <c r="AH299" s="54"/>
      <c r="AI299" s="51"/>
      <c r="AJ299" s="55" t="str">
        <f aca="false">IF(AH299="","",EDATE(AH299,60))</f>
        <v/>
      </c>
      <c r="AK299" s="49" t="str">
        <f aca="true">IF(B299="","",IF(OR(AG299="Non",AH299=""),"FDS ABSENTE",IF(TODAY()&gt;=EDATE(AH299,60),"EXPIRÉE",IF(TODAY()&gt;=EDATE(AH299,54),"À RENOUVELER","CONFORME"))))</f>
        <v/>
      </c>
      <c r="AL299" s="50"/>
      <c r="AM299" s="54"/>
      <c r="AN299" s="54"/>
      <c r="AO299" s="50"/>
      <c r="AP299" s="50"/>
      <c r="AQ299" s="50"/>
      <c r="AR299" s="50"/>
      <c r="AS299" s="50"/>
      <c r="AT299" s="50"/>
      <c r="AU299" s="50"/>
      <c r="AV299" s="50"/>
      <c r="AW299" s="52"/>
      <c r="AX299" s="52"/>
      <c r="AY299" s="56" t="str">
        <f aca="false">IF(OR(AW299="",AX299=""),"",AW299*AX299)</f>
        <v/>
      </c>
      <c r="AZ299" s="52"/>
      <c r="BA299" s="56" t="str">
        <f aca="false">IF(AY299="","",IF(AZ299="",AY299,ROUNDUP(AY299/AZ299,0)))</f>
        <v/>
      </c>
      <c r="BB299" s="49" t="str">
        <f aca="false">IF(BA299="","",IF(BA299&gt;=15,"P1 – Critique",IF(BA299&gt;=8,"P2 – Élevée",IF(BA299&gt;=4,"P3 – Modérée","P4 – Faible"))))</f>
        <v/>
      </c>
      <c r="BC299" s="50"/>
      <c r="BD299" s="50"/>
      <c r="BE299" s="54"/>
      <c r="BF299" s="57"/>
      <c r="BG299" s="50"/>
      <c r="BH299" s="54"/>
      <c r="BI299" s="54"/>
      <c r="BJ299" s="50"/>
      <c r="BK299" s="50"/>
    </row>
    <row r="300" customFormat="false" ht="15" hidden="false" customHeight="false" outlineLevel="0" collapsed="false">
      <c r="A300" s="49" t="str">
        <f aca="false">IF(B300="","","PC-"&amp;TEXT(ROW()-2,"000"))</f>
        <v/>
      </c>
      <c r="B300" s="50"/>
      <c r="C300" s="50"/>
      <c r="D300" s="51"/>
      <c r="E300" s="51"/>
      <c r="F300" s="51"/>
      <c r="G300" s="50"/>
      <c r="H300" s="50"/>
      <c r="I300" s="50"/>
      <c r="J300" s="51"/>
      <c r="K300" s="50"/>
      <c r="L300" s="50"/>
      <c r="M300" s="50"/>
      <c r="N300" s="50"/>
      <c r="O300" s="52"/>
      <c r="P300" s="50"/>
      <c r="Q300" s="52"/>
      <c r="R300" s="52"/>
      <c r="S300" s="49" t="str">
        <f aca="false">IF(B300="","",IF(OR(O300="",R300=""),"—",IF(O300&lt;=R300,"⚠ RÉAPPRO","OK")))</f>
        <v/>
      </c>
      <c r="T300" s="50"/>
      <c r="U300" s="50"/>
      <c r="V300" s="50"/>
      <c r="W300" s="50"/>
      <c r="X300" s="50"/>
      <c r="Y300" s="53" t="str">
        <f aca="false">IF(B300="","",IF(X300="","—",IF(X300="Non classé","Non classé",IFERROR(INDEX(RefH_Classe,MATCH(TRIM(LEFT(X300,FIND(",",X300&amp;",")-1)),RefH_Code,0)),"Code H inconnu"))))</f>
        <v/>
      </c>
      <c r="Z300" s="50"/>
      <c r="AA300" s="50"/>
      <c r="AB300" s="51"/>
      <c r="AC300" s="51"/>
      <c r="AD300" s="51"/>
      <c r="AE300" s="51"/>
      <c r="AF300" s="50"/>
      <c r="AG300" s="51"/>
      <c r="AH300" s="54"/>
      <c r="AI300" s="51"/>
      <c r="AJ300" s="55" t="str">
        <f aca="false">IF(AH300="","",EDATE(AH300,60))</f>
        <v/>
      </c>
      <c r="AK300" s="49" t="str">
        <f aca="true">IF(B300="","",IF(OR(AG300="Non",AH300=""),"FDS ABSENTE",IF(TODAY()&gt;=EDATE(AH300,60),"EXPIRÉE",IF(TODAY()&gt;=EDATE(AH300,54),"À RENOUVELER","CONFORME"))))</f>
        <v/>
      </c>
      <c r="AL300" s="50"/>
      <c r="AM300" s="54"/>
      <c r="AN300" s="54"/>
      <c r="AO300" s="50"/>
      <c r="AP300" s="50"/>
      <c r="AQ300" s="50"/>
      <c r="AR300" s="50"/>
      <c r="AS300" s="50"/>
      <c r="AT300" s="50"/>
      <c r="AU300" s="50"/>
      <c r="AV300" s="50"/>
      <c r="AW300" s="52"/>
      <c r="AX300" s="52"/>
      <c r="AY300" s="56" t="str">
        <f aca="false">IF(OR(AW300="",AX300=""),"",AW300*AX300)</f>
        <v/>
      </c>
      <c r="AZ300" s="52"/>
      <c r="BA300" s="56" t="str">
        <f aca="false">IF(AY300="","",IF(AZ300="",AY300,ROUNDUP(AY300/AZ300,0)))</f>
        <v/>
      </c>
      <c r="BB300" s="49" t="str">
        <f aca="false">IF(BA300="","",IF(BA300&gt;=15,"P1 – Critique",IF(BA300&gt;=8,"P2 – Élevée",IF(BA300&gt;=4,"P3 – Modérée","P4 – Faible"))))</f>
        <v/>
      </c>
      <c r="BC300" s="50"/>
      <c r="BD300" s="50"/>
      <c r="BE300" s="54"/>
      <c r="BF300" s="57"/>
      <c r="BG300" s="50"/>
      <c r="BH300" s="54"/>
      <c r="BI300" s="54"/>
      <c r="BJ300" s="50"/>
      <c r="BK300" s="50"/>
    </row>
    <row r="301" customFormat="false" ht="15" hidden="false" customHeight="false" outlineLevel="0" collapsed="false">
      <c r="A301" s="49" t="str">
        <f aca="false">IF(B301="","","PC-"&amp;TEXT(ROW()-2,"000"))</f>
        <v/>
      </c>
      <c r="B301" s="50"/>
      <c r="C301" s="50"/>
      <c r="D301" s="51"/>
      <c r="E301" s="51"/>
      <c r="F301" s="51"/>
      <c r="G301" s="50"/>
      <c r="H301" s="50"/>
      <c r="I301" s="50"/>
      <c r="J301" s="51"/>
      <c r="K301" s="50"/>
      <c r="L301" s="50"/>
      <c r="M301" s="50"/>
      <c r="N301" s="50"/>
      <c r="O301" s="52"/>
      <c r="P301" s="50"/>
      <c r="Q301" s="52"/>
      <c r="R301" s="52"/>
      <c r="S301" s="49" t="str">
        <f aca="false">IF(B301="","",IF(OR(O301="",R301=""),"—",IF(O301&lt;=R301,"⚠ RÉAPPRO","OK")))</f>
        <v/>
      </c>
      <c r="T301" s="50"/>
      <c r="U301" s="50"/>
      <c r="V301" s="50"/>
      <c r="W301" s="50"/>
      <c r="X301" s="50"/>
      <c r="Y301" s="53" t="str">
        <f aca="false">IF(B301="","",IF(X301="","—",IF(X301="Non classé","Non classé",IFERROR(INDEX(RefH_Classe,MATCH(TRIM(LEFT(X301,FIND(",",X301&amp;",")-1)),RefH_Code,0)),"Code H inconnu"))))</f>
        <v/>
      </c>
      <c r="Z301" s="50"/>
      <c r="AA301" s="50"/>
      <c r="AB301" s="51"/>
      <c r="AC301" s="51"/>
      <c r="AD301" s="51"/>
      <c r="AE301" s="51"/>
      <c r="AF301" s="50"/>
      <c r="AG301" s="51"/>
      <c r="AH301" s="54"/>
      <c r="AI301" s="51"/>
      <c r="AJ301" s="55" t="str">
        <f aca="false">IF(AH301="","",EDATE(AH301,60))</f>
        <v/>
      </c>
      <c r="AK301" s="49" t="str">
        <f aca="true">IF(B301="","",IF(OR(AG301="Non",AH301=""),"FDS ABSENTE",IF(TODAY()&gt;=EDATE(AH301,60),"EXPIRÉE",IF(TODAY()&gt;=EDATE(AH301,54),"À RENOUVELER","CONFORME"))))</f>
        <v/>
      </c>
      <c r="AL301" s="50"/>
      <c r="AM301" s="54"/>
      <c r="AN301" s="54"/>
      <c r="AO301" s="50"/>
      <c r="AP301" s="50"/>
      <c r="AQ301" s="50"/>
      <c r="AR301" s="50"/>
      <c r="AS301" s="50"/>
      <c r="AT301" s="50"/>
      <c r="AU301" s="50"/>
      <c r="AV301" s="50"/>
      <c r="AW301" s="52"/>
      <c r="AX301" s="52"/>
      <c r="AY301" s="56" t="str">
        <f aca="false">IF(OR(AW301="",AX301=""),"",AW301*AX301)</f>
        <v/>
      </c>
      <c r="AZ301" s="52"/>
      <c r="BA301" s="56" t="str">
        <f aca="false">IF(AY301="","",IF(AZ301="",AY301,ROUNDUP(AY301/AZ301,0)))</f>
        <v/>
      </c>
      <c r="BB301" s="49" t="str">
        <f aca="false">IF(BA301="","",IF(BA301&gt;=15,"P1 – Critique",IF(BA301&gt;=8,"P2 – Élevée",IF(BA301&gt;=4,"P3 – Modérée","P4 – Faible"))))</f>
        <v/>
      </c>
      <c r="BC301" s="50"/>
      <c r="BD301" s="50"/>
      <c r="BE301" s="54"/>
      <c r="BF301" s="57"/>
      <c r="BG301" s="50"/>
      <c r="BH301" s="54"/>
      <c r="BI301" s="54"/>
      <c r="BJ301" s="50"/>
      <c r="BK301" s="50"/>
    </row>
    <row r="302" customFormat="false" ht="15" hidden="false" customHeight="false" outlineLevel="0" collapsed="false">
      <c r="A302" s="49" t="str">
        <f aca="false">IF(B302="","","PC-"&amp;TEXT(ROW()-2,"000"))</f>
        <v/>
      </c>
      <c r="B302" s="50"/>
      <c r="C302" s="50"/>
      <c r="D302" s="51"/>
      <c r="E302" s="51"/>
      <c r="F302" s="51"/>
      <c r="G302" s="50"/>
      <c r="H302" s="50"/>
      <c r="I302" s="50"/>
      <c r="J302" s="51"/>
      <c r="K302" s="50"/>
      <c r="L302" s="50"/>
      <c r="M302" s="50"/>
      <c r="N302" s="50"/>
      <c r="O302" s="52"/>
      <c r="P302" s="50"/>
      <c r="Q302" s="52"/>
      <c r="R302" s="52"/>
      <c r="S302" s="49" t="str">
        <f aca="false">IF(B302="","",IF(OR(O302="",R302=""),"—",IF(O302&lt;=R302,"⚠ RÉAPPRO","OK")))</f>
        <v/>
      </c>
      <c r="T302" s="50"/>
      <c r="U302" s="50"/>
      <c r="V302" s="50"/>
      <c r="W302" s="50"/>
      <c r="X302" s="50"/>
      <c r="Y302" s="53" t="str">
        <f aca="false">IF(B302="","",IF(X302="","—",IF(X302="Non classé","Non classé",IFERROR(INDEX(RefH_Classe,MATCH(TRIM(LEFT(X302,FIND(",",X302&amp;",")-1)),RefH_Code,0)),"Code H inconnu"))))</f>
        <v/>
      </c>
      <c r="Z302" s="50"/>
      <c r="AA302" s="50"/>
      <c r="AB302" s="51"/>
      <c r="AC302" s="51"/>
      <c r="AD302" s="51"/>
      <c r="AE302" s="51"/>
      <c r="AF302" s="50"/>
      <c r="AG302" s="51"/>
      <c r="AH302" s="54"/>
      <c r="AI302" s="51"/>
      <c r="AJ302" s="55" t="str">
        <f aca="false">IF(AH302="","",EDATE(AH302,60))</f>
        <v/>
      </c>
      <c r="AK302" s="49" t="str">
        <f aca="true">IF(B302="","",IF(OR(AG302="Non",AH302=""),"FDS ABSENTE",IF(TODAY()&gt;=EDATE(AH302,60),"EXPIRÉE",IF(TODAY()&gt;=EDATE(AH302,54),"À RENOUVELER","CONFORME"))))</f>
        <v/>
      </c>
      <c r="AL302" s="50"/>
      <c r="AM302" s="54"/>
      <c r="AN302" s="54"/>
      <c r="AO302" s="50"/>
      <c r="AP302" s="50"/>
      <c r="AQ302" s="50"/>
      <c r="AR302" s="50"/>
      <c r="AS302" s="50"/>
      <c r="AT302" s="50"/>
      <c r="AU302" s="50"/>
      <c r="AV302" s="50"/>
      <c r="AW302" s="52"/>
      <c r="AX302" s="52"/>
      <c r="AY302" s="56" t="str">
        <f aca="false">IF(OR(AW302="",AX302=""),"",AW302*AX302)</f>
        <v/>
      </c>
      <c r="AZ302" s="52"/>
      <c r="BA302" s="56" t="str">
        <f aca="false">IF(AY302="","",IF(AZ302="",AY302,ROUNDUP(AY302/AZ302,0)))</f>
        <v/>
      </c>
      <c r="BB302" s="49" t="str">
        <f aca="false">IF(BA302="","",IF(BA302&gt;=15,"P1 – Critique",IF(BA302&gt;=8,"P2 – Élevée",IF(BA302&gt;=4,"P3 – Modérée","P4 – Faible"))))</f>
        <v/>
      </c>
      <c r="BC302" s="50"/>
      <c r="BD302" s="50"/>
      <c r="BE302" s="54"/>
      <c r="BF302" s="57"/>
      <c r="BG302" s="50"/>
      <c r="BH302" s="54"/>
      <c r="BI302" s="54"/>
      <c r="BJ302" s="50"/>
      <c r="BK302" s="50"/>
    </row>
    <row r="303" customFormat="false" ht="15" hidden="false" customHeight="false" outlineLevel="0" collapsed="false">
      <c r="A303" s="49" t="str">
        <f aca="false">IF(B303="","","PC-"&amp;TEXT(ROW()-2,"000"))</f>
        <v/>
      </c>
      <c r="B303" s="50"/>
      <c r="C303" s="50"/>
      <c r="D303" s="51"/>
      <c r="E303" s="51"/>
      <c r="F303" s="51"/>
      <c r="G303" s="50"/>
      <c r="H303" s="50"/>
      <c r="I303" s="50"/>
      <c r="J303" s="51"/>
      <c r="K303" s="50"/>
      <c r="L303" s="50"/>
      <c r="M303" s="50"/>
      <c r="N303" s="50"/>
      <c r="O303" s="52"/>
      <c r="P303" s="50"/>
      <c r="Q303" s="52"/>
      <c r="R303" s="52"/>
      <c r="S303" s="49" t="str">
        <f aca="false">IF(B303="","",IF(OR(O303="",R303=""),"—",IF(O303&lt;=R303,"⚠ RÉAPPRO","OK")))</f>
        <v/>
      </c>
      <c r="T303" s="50"/>
      <c r="U303" s="50"/>
      <c r="V303" s="50"/>
      <c r="W303" s="50"/>
      <c r="X303" s="50"/>
      <c r="Y303" s="53" t="str">
        <f aca="false">IF(B303="","",IF(X303="","—",IF(X303="Non classé","Non classé",IFERROR(INDEX(RefH_Classe,MATCH(TRIM(LEFT(X303,FIND(",",X303&amp;",")-1)),RefH_Code,0)),"Code H inconnu"))))</f>
        <v/>
      </c>
      <c r="Z303" s="50"/>
      <c r="AA303" s="50"/>
      <c r="AB303" s="51"/>
      <c r="AC303" s="51"/>
      <c r="AD303" s="51"/>
      <c r="AE303" s="51"/>
      <c r="AF303" s="50"/>
      <c r="AG303" s="51"/>
      <c r="AH303" s="54"/>
      <c r="AI303" s="51"/>
      <c r="AJ303" s="55" t="str">
        <f aca="false">IF(AH303="","",EDATE(AH303,60))</f>
        <v/>
      </c>
      <c r="AK303" s="49" t="str">
        <f aca="true">IF(B303="","",IF(OR(AG303="Non",AH303=""),"FDS ABSENTE",IF(TODAY()&gt;=EDATE(AH303,60),"EXPIRÉE",IF(TODAY()&gt;=EDATE(AH303,54),"À RENOUVELER","CONFORME"))))</f>
        <v/>
      </c>
      <c r="AL303" s="50"/>
      <c r="AM303" s="54"/>
      <c r="AN303" s="54"/>
      <c r="AO303" s="50"/>
      <c r="AP303" s="50"/>
      <c r="AQ303" s="50"/>
      <c r="AR303" s="50"/>
      <c r="AS303" s="50"/>
      <c r="AT303" s="50"/>
      <c r="AU303" s="50"/>
      <c r="AV303" s="50"/>
      <c r="AW303" s="52"/>
      <c r="AX303" s="52"/>
      <c r="AY303" s="56" t="str">
        <f aca="false">IF(OR(AW303="",AX303=""),"",AW303*AX303)</f>
        <v/>
      </c>
      <c r="AZ303" s="52"/>
      <c r="BA303" s="56" t="str">
        <f aca="false">IF(AY303="","",IF(AZ303="",AY303,ROUNDUP(AY303/AZ303,0)))</f>
        <v/>
      </c>
      <c r="BB303" s="49" t="str">
        <f aca="false">IF(BA303="","",IF(BA303&gt;=15,"P1 – Critique",IF(BA303&gt;=8,"P2 – Élevée",IF(BA303&gt;=4,"P3 – Modérée","P4 – Faible"))))</f>
        <v/>
      </c>
      <c r="BC303" s="50"/>
      <c r="BD303" s="50"/>
      <c r="BE303" s="54"/>
      <c r="BF303" s="57"/>
      <c r="BG303" s="50"/>
      <c r="BH303" s="54"/>
      <c r="BI303" s="54"/>
      <c r="BJ303" s="50"/>
      <c r="BK303" s="50"/>
    </row>
    <row r="304" customFormat="false" ht="15" hidden="false" customHeight="false" outlineLevel="0" collapsed="false">
      <c r="A304" s="49" t="str">
        <f aca="false">IF(B304="","","PC-"&amp;TEXT(ROW()-2,"000"))</f>
        <v/>
      </c>
      <c r="B304" s="50"/>
      <c r="C304" s="50"/>
      <c r="D304" s="51"/>
      <c r="E304" s="51"/>
      <c r="F304" s="51"/>
      <c r="G304" s="50"/>
      <c r="H304" s="50"/>
      <c r="I304" s="50"/>
      <c r="J304" s="51"/>
      <c r="K304" s="50"/>
      <c r="L304" s="50"/>
      <c r="M304" s="50"/>
      <c r="N304" s="50"/>
      <c r="O304" s="52"/>
      <c r="P304" s="50"/>
      <c r="Q304" s="52"/>
      <c r="R304" s="52"/>
      <c r="S304" s="49" t="str">
        <f aca="false">IF(B304="","",IF(OR(O304="",R304=""),"—",IF(O304&lt;=R304,"⚠ RÉAPPRO","OK")))</f>
        <v/>
      </c>
      <c r="T304" s="50"/>
      <c r="U304" s="50"/>
      <c r="V304" s="50"/>
      <c r="W304" s="50"/>
      <c r="X304" s="50"/>
      <c r="Y304" s="53" t="str">
        <f aca="false">IF(B304="","",IF(X304="","—",IF(X304="Non classé","Non classé",IFERROR(INDEX(RefH_Classe,MATCH(TRIM(LEFT(X304,FIND(",",X304&amp;",")-1)),RefH_Code,0)),"Code H inconnu"))))</f>
        <v/>
      </c>
      <c r="Z304" s="50"/>
      <c r="AA304" s="50"/>
      <c r="AB304" s="51"/>
      <c r="AC304" s="51"/>
      <c r="AD304" s="51"/>
      <c r="AE304" s="51"/>
      <c r="AF304" s="50"/>
      <c r="AG304" s="51"/>
      <c r="AH304" s="54"/>
      <c r="AI304" s="51"/>
      <c r="AJ304" s="55" t="str">
        <f aca="false">IF(AH304="","",EDATE(AH304,60))</f>
        <v/>
      </c>
      <c r="AK304" s="49" t="str">
        <f aca="true">IF(B304="","",IF(OR(AG304="Non",AH304=""),"FDS ABSENTE",IF(TODAY()&gt;=EDATE(AH304,60),"EXPIRÉE",IF(TODAY()&gt;=EDATE(AH304,54),"À RENOUVELER","CONFORME"))))</f>
        <v/>
      </c>
      <c r="AL304" s="50"/>
      <c r="AM304" s="54"/>
      <c r="AN304" s="54"/>
      <c r="AO304" s="50"/>
      <c r="AP304" s="50"/>
      <c r="AQ304" s="50"/>
      <c r="AR304" s="50"/>
      <c r="AS304" s="50"/>
      <c r="AT304" s="50"/>
      <c r="AU304" s="50"/>
      <c r="AV304" s="50"/>
      <c r="AW304" s="52"/>
      <c r="AX304" s="52"/>
      <c r="AY304" s="56" t="str">
        <f aca="false">IF(OR(AW304="",AX304=""),"",AW304*AX304)</f>
        <v/>
      </c>
      <c r="AZ304" s="52"/>
      <c r="BA304" s="56" t="str">
        <f aca="false">IF(AY304="","",IF(AZ304="",AY304,ROUNDUP(AY304/AZ304,0)))</f>
        <v/>
      </c>
      <c r="BB304" s="49" t="str">
        <f aca="false">IF(BA304="","",IF(BA304&gt;=15,"P1 – Critique",IF(BA304&gt;=8,"P2 – Élevée",IF(BA304&gt;=4,"P3 – Modérée","P4 – Faible"))))</f>
        <v/>
      </c>
      <c r="BC304" s="50"/>
      <c r="BD304" s="50"/>
      <c r="BE304" s="54"/>
      <c r="BF304" s="57"/>
      <c r="BG304" s="50"/>
      <c r="BH304" s="54"/>
      <c r="BI304" s="54"/>
      <c r="BJ304" s="50"/>
      <c r="BK304" s="50"/>
    </row>
    <row r="305" customFormat="false" ht="15" hidden="false" customHeight="false" outlineLevel="0" collapsed="false">
      <c r="A305" s="49" t="str">
        <f aca="false">IF(B305="","","PC-"&amp;TEXT(ROW()-2,"000"))</f>
        <v/>
      </c>
      <c r="B305" s="50"/>
      <c r="C305" s="50"/>
      <c r="D305" s="51"/>
      <c r="E305" s="51"/>
      <c r="F305" s="51"/>
      <c r="G305" s="50"/>
      <c r="H305" s="50"/>
      <c r="I305" s="50"/>
      <c r="J305" s="51"/>
      <c r="K305" s="50"/>
      <c r="L305" s="50"/>
      <c r="M305" s="50"/>
      <c r="N305" s="50"/>
      <c r="O305" s="52"/>
      <c r="P305" s="50"/>
      <c r="Q305" s="52"/>
      <c r="R305" s="52"/>
      <c r="S305" s="49" t="str">
        <f aca="false">IF(B305="","",IF(OR(O305="",R305=""),"—",IF(O305&lt;=R305,"⚠ RÉAPPRO","OK")))</f>
        <v/>
      </c>
      <c r="T305" s="50"/>
      <c r="U305" s="50"/>
      <c r="V305" s="50"/>
      <c r="W305" s="50"/>
      <c r="X305" s="50"/>
      <c r="Y305" s="53" t="str">
        <f aca="false">IF(B305="","",IF(X305="","—",IF(X305="Non classé","Non classé",IFERROR(INDEX(RefH_Classe,MATCH(TRIM(LEFT(X305,FIND(",",X305&amp;",")-1)),RefH_Code,0)),"Code H inconnu"))))</f>
        <v/>
      </c>
      <c r="Z305" s="50"/>
      <c r="AA305" s="50"/>
      <c r="AB305" s="51"/>
      <c r="AC305" s="51"/>
      <c r="AD305" s="51"/>
      <c r="AE305" s="51"/>
      <c r="AF305" s="50"/>
      <c r="AG305" s="51"/>
      <c r="AH305" s="54"/>
      <c r="AI305" s="51"/>
      <c r="AJ305" s="55" t="str">
        <f aca="false">IF(AH305="","",EDATE(AH305,60))</f>
        <v/>
      </c>
      <c r="AK305" s="49" t="str">
        <f aca="true">IF(B305="","",IF(OR(AG305="Non",AH305=""),"FDS ABSENTE",IF(TODAY()&gt;=EDATE(AH305,60),"EXPIRÉE",IF(TODAY()&gt;=EDATE(AH305,54),"À RENOUVELER","CONFORME"))))</f>
        <v/>
      </c>
      <c r="AL305" s="50"/>
      <c r="AM305" s="54"/>
      <c r="AN305" s="54"/>
      <c r="AO305" s="50"/>
      <c r="AP305" s="50"/>
      <c r="AQ305" s="50"/>
      <c r="AR305" s="50"/>
      <c r="AS305" s="50"/>
      <c r="AT305" s="50"/>
      <c r="AU305" s="50"/>
      <c r="AV305" s="50"/>
      <c r="AW305" s="52"/>
      <c r="AX305" s="52"/>
      <c r="AY305" s="56" t="str">
        <f aca="false">IF(OR(AW305="",AX305=""),"",AW305*AX305)</f>
        <v/>
      </c>
      <c r="AZ305" s="52"/>
      <c r="BA305" s="56" t="str">
        <f aca="false">IF(AY305="","",IF(AZ305="",AY305,ROUNDUP(AY305/AZ305,0)))</f>
        <v/>
      </c>
      <c r="BB305" s="49" t="str">
        <f aca="false">IF(BA305="","",IF(BA305&gt;=15,"P1 – Critique",IF(BA305&gt;=8,"P2 – Élevée",IF(BA305&gt;=4,"P3 – Modérée","P4 – Faible"))))</f>
        <v/>
      </c>
      <c r="BC305" s="50"/>
      <c r="BD305" s="50"/>
      <c r="BE305" s="54"/>
      <c r="BF305" s="57"/>
      <c r="BG305" s="50"/>
      <c r="BH305" s="54"/>
      <c r="BI305" s="54"/>
      <c r="BJ305" s="50"/>
      <c r="BK305" s="50"/>
    </row>
    <row r="306" customFormat="false" ht="15" hidden="false" customHeight="false" outlineLevel="0" collapsed="false">
      <c r="A306" s="49" t="str">
        <f aca="false">IF(B306="","","PC-"&amp;TEXT(ROW()-2,"000"))</f>
        <v/>
      </c>
      <c r="B306" s="50"/>
      <c r="C306" s="50"/>
      <c r="D306" s="51"/>
      <c r="E306" s="51"/>
      <c r="F306" s="51"/>
      <c r="G306" s="50"/>
      <c r="H306" s="50"/>
      <c r="I306" s="50"/>
      <c r="J306" s="51"/>
      <c r="K306" s="50"/>
      <c r="L306" s="50"/>
      <c r="M306" s="50"/>
      <c r="N306" s="50"/>
      <c r="O306" s="52"/>
      <c r="P306" s="50"/>
      <c r="Q306" s="52"/>
      <c r="R306" s="52"/>
      <c r="S306" s="49" t="str">
        <f aca="false">IF(B306="","",IF(OR(O306="",R306=""),"—",IF(O306&lt;=R306,"⚠ RÉAPPRO","OK")))</f>
        <v/>
      </c>
      <c r="T306" s="50"/>
      <c r="U306" s="50"/>
      <c r="V306" s="50"/>
      <c r="W306" s="50"/>
      <c r="X306" s="50"/>
      <c r="Y306" s="53" t="str">
        <f aca="false">IF(B306="","",IF(X306="","—",IF(X306="Non classé","Non classé",IFERROR(INDEX(RefH_Classe,MATCH(TRIM(LEFT(X306,FIND(",",X306&amp;",")-1)),RefH_Code,0)),"Code H inconnu"))))</f>
        <v/>
      </c>
      <c r="Z306" s="50"/>
      <c r="AA306" s="50"/>
      <c r="AB306" s="51"/>
      <c r="AC306" s="51"/>
      <c r="AD306" s="51"/>
      <c r="AE306" s="51"/>
      <c r="AF306" s="50"/>
      <c r="AG306" s="51"/>
      <c r="AH306" s="54"/>
      <c r="AI306" s="51"/>
      <c r="AJ306" s="55" t="str">
        <f aca="false">IF(AH306="","",EDATE(AH306,60))</f>
        <v/>
      </c>
      <c r="AK306" s="49" t="str">
        <f aca="true">IF(B306="","",IF(OR(AG306="Non",AH306=""),"FDS ABSENTE",IF(TODAY()&gt;=EDATE(AH306,60),"EXPIRÉE",IF(TODAY()&gt;=EDATE(AH306,54),"À RENOUVELER","CONFORME"))))</f>
        <v/>
      </c>
      <c r="AL306" s="50"/>
      <c r="AM306" s="54"/>
      <c r="AN306" s="54"/>
      <c r="AO306" s="50"/>
      <c r="AP306" s="50"/>
      <c r="AQ306" s="50"/>
      <c r="AR306" s="50"/>
      <c r="AS306" s="50"/>
      <c r="AT306" s="50"/>
      <c r="AU306" s="50"/>
      <c r="AV306" s="50"/>
      <c r="AW306" s="52"/>
      <c r="AX306" s="52"/>
      <c r="AY306" s="56" t="str">
        <f aca="false">IF(OR(AW306="",AX306=""),"",AW306*AX306)</f>
        <v/>
      </c>
      <c r="AZ306" s="52"/>
      <c r="BA306" s="56" t="str">
        <f aca="false">IF(AY306="","",IF(AZ306="",AY306,ROUNDUP(AY306/AZ306,0)))</f>
        <v/>
      </c>
      <c r="BB306" s="49" t="str">
        <f aca="false">IF(BA306="","",IF(BA306&gt;=15,"P1 – Critique",IF(BA306&gt;=8,"P2 – Élevée",IF(BA306&gt;=4,"P3 – Modérée","P4 – Faible"))))</f>
        <v/>
      </c>
      <c r="BC306" s="50"/>
      <c r="BD306" s="50"/>
      <c r="BE306" s="54"/>
      <c r="BF306" s="57"/>
      <c r="BG306" s="50"/>
      <c r="BH306" s="54"/>
      <c r="BI306" s="54"/>
      <c r="BJ306" s="50"/>
      <c r="BK306" s="50"/>
    </row>
    <row r="307" customFormat="false" ht="15" hidden="false" customHeight="false" outlineLevel="0" collapsed="false">
      <c r="A307" s="49" t="str">
        <f aca="false">IF(B307="","","PC-"&amp;TEXT(ROW()-2,"000"))</f>
        <v/>
      </c>
      <c r="B307" s="50"/>
      <c r="C307" s="50"/>
      <c r="D307" s="51"/>
      <c r="E307" s="51"/>
      <c r="F307" s="51"/>
      <c r="G307" s="50"/>
      <c r="H307" s="50"/>
      <c r="I307" s="50"/>
      <c r="J307" s="51"/>
      <c r="K307" s="50"/>
      <c r="L307" s="50"/>
      <c r="M307" s="50"/>
      <c r="N307" s="50"/>
      <c r="O307" s="52"/>
      <c r="P307" s="50"/>
      <c r="Q307" s="52"/>
      <c r="R307" s="52"/>
      <c r="S307" s="49" t="str">
        <f aca="false">IF(B307="","",IF(OR(O307="",R307=""),"—",IF(O307&lt;=R307,"⚠ RÉAPPRO","OK")))</f>
        <v/>
      </c>
      <c r="T307" s="50"/>
      <c r="U307" s="50"/>
      <c r="V307" s="50"/>
      <c r="W307" s="50"/>
      <c r="X307" s="50"/>
      <c r="Y307" s="53" t="str">
        <f aca="false">IF(B307="","",IF(X307="","—",IF(X307="Non classé","Non classé",IFERROR(INDEX(RefH_Classe,MATCH(TRIM(LEFT(X307,FIND(",",X307&amp;",")-1)),RefH_Code,0)),"Code H inconnu"))))</f>
        <v/>
      </c>
      <c r="Z307" s="50"/>
      <c r="AA307" s="50"/>
      <c r="AB307" s="51"/>
      <c r="AC307" s="51"/>
      <c r="AD307" s="51"/>
      <c r="AE307" s="51"/>
      <c r="AF307" s="50"/>
      <c r="AG307" s="51"/>
      <c r="AH307" s="54"/>
      <c r="AI307" s="51"/>
      <c r="AJ307" s="55" t="str">
        <f aca="false">IF(AH307="","",EDATE(AH307,60))</f>
        <v/>
      </c>
      <c r="AK307" s="49" t="str">
        <f aca="true">IF(B307="","",IF(OR(AG307="Non",AH307=""),"FDS ABSENTE",IF(TODAY()&gt;=EDATE(AH307,60),"EXPIRÉE",IF(TODAY()&gt;=EDATE(AH307,54),"À RENOUVELER","CONFORME"))))</f>
        <v/>
      </c>
      <c r="AL307" s="50"/>
      <c r="AM307" s="54"/>
      <c r="AN307" s="54"/>
      <c r="AO307" s="50"/>
      <c r="AP307" s="50"/>
      <c r="AQ307" s="50"/>
      <c r="AR307" s="50"/>
      <c r="AS307" s="50"/>
      <c r="AT307" s="50"/>
      <c r="AU307" s="50"/>
      <c r="AV307" s="50"/>
      <c r="AW307" s="52"/>
      <c r="AX307" s="52"/>
      <c r="AY307" s="56" t="str">
        <f aca="false">IF(OR(AW307="",AX307=""),"",AW307*AX307)</f>
        <v/>
      </c>
      <c r="AZ307" s="52"/>
      <c r="BA307" s="56" t="str">
        <f aca="false">IF(AY307="","",IF(AZ307="",AY307,ROUNDUP(AY307/AZ307,0)))</f>
        <v/>
      </c>
      <c r="BB307" s="49" t="str">
        <f aca="false">IF(BA307="","",IF(BA307&gt;=15,"P1 – Critique",IF(BA307&gt;=8,"P2 – Élevée",IF(BA307&gt;=4,"P3 – Modérée","P4 – Faible"))))</f>
        <v/>
      </c>
      <c r="BC307" s="50"/>
      <c r="BD307" s="50"/>
      <c r="BE307" s="54"/>
      <c r="BF307" s="57"/>
      <c r="BG307" s="50"/>
      <c r="BH307" s="54"/>
      <c r="BI307" s="54"/>
      <c r="BJ307" s="50"/>
      <c r="BK307" s="50"/>
    </row>
    <row r="308" customFormat="false" ht="15" hidden="false" customHeight="false" outlineLevel="0" collapsed="false">
      <c r="A308" s="49" t="str">
        <f aca="false">IF(B308="","","PC-"&amp;TEXT(ROW()-2,"000"))</f>
        <v/>
      </c>
      <c r="B308" s="50"/>
      <c r="C308" s="50"/>
      <c r="D308" s="51"/>
      <c r="E308" s="51"/>
      <c r="F308" s="51"/>
      <c r="G308" s="50"/>
      <c r="H308" s="50"/>
      <c r="I308" s="50"/>
      <c r="J308" s="51"/>
      <c r="K308" s="50"/>
      <c r="L308" s="50"/>
      <c r="M308" s="50"/>
      <c r="N308" s="50"/>
      <c r="O308" s="52"/>
      <c r="P308" s="50"/>
      <c r="Q308" s="52"/>
      <c r="R308" s="52"/>
      <c r="S308" s="49" t="str">
        <f aca="false">IF(B308="","",IF(OR(O308="",R308=""),"—",IF(O308&lt;=R308,"⚠ RÉAPPRO","OK")))</f>
        <v/>
      </c>
      <c r="T308" s="50"/>
      <c r="U308" s="50"/>
      <c r="V308" s="50"/>
      <c r="W308" s="50"/>
      <c r="X308" s="50"/>
      <c r="Y308" s="53" t="str">
        <f aca="false">IF(B308="","",IF(X308="","—",IF(X308="Non classé","Non classé",IFERROR(INDEX(RefH_Classe,MATCH(TRIM(LEFT(X308,FIND(",",X308&amp;",")-1)),RefH_Code,0)),"Code H inconnu"))))</f>
        <v/>
      </c>
      <c r="Z308" s="50"/>
      <c r="AA308" s="50"/>
      <c r="AB308" s="51"/>
      <c r="AC308" s="51"/>
      <c r="AD308" s="51"/>
      <c r="AE308" s="51"/>
      <c r="AF308" s="50"/>
      <c r="AG308" s="51"/>
      <c r="AH308" s="54"/>
      <c r="AI308" s="51"/>
      <c r="AJ308" s="55" t="str">
        <f aca="false">IF(AH308="","",EDATE(AH308,60))</f>
        <v/>
      </c>
      <c r="AK308" s="49" t="str">
        <f aca="true">IF(B308="","",IF(OR(AG308="Non",AH308=""),"FDS ABSENTE",IF(TODAY()&gt;=EDATE(AH308,60),"EXPIRÉE",IF(TODAY()&gt;=EDATE(AH308,54),"À RENOUVELER","CONFORME"))))</f>
        <v/>
      </c>
      <c r="AL308" s="50"/>
      <c r="AM308" s="54"/>
      <c r="AN308" s="54"/>
      <c r="AO308" s="50"/>
      <c r="AP308" s="50"/>
      <c r="AQ308" s="50"/>
      <c r="AR308" s="50"/>
      <c r="AS308" s="50"/>
      <c r="AT308" s="50"/>
      <c r="AU308" s="50"/>
      <c r="AV308" s="50"/>
      <c r="AW308" s="52"/>
      <c r="AX308" s="52"/>
      <c r="AY308" s="56" t="str">
        <f aca="false">IF(OR(AW308="",AX308=""),"",AW308*AX308)</f>
        <v/>
      </c>
      <c r="AZ308" s="52"/>
      <c r="BA308" s="56" t="str">
        <f aca="false">IF(AY308="","",IF(AZ308="",AY308,ROUNDUP(AY308/AZ308,0)))</f>
        <v/>
      </c>
      <c r="BB308" s="49" t="str">
        <f aca="false">IF(BA308="","",IF(BA308&gt;=15,"P1 – Critique",IF(BA308&gt;=8,"P2 – Élevée",IF(BA308&gt;=4,"P3 – Modérée","P4 – Faible"))))</f>
        <v/>
      </c>
      <c r="BC308" s="50"/>
      <c r="BD308" s="50"/>
      <c r="BE308" s="54"/>
      <c r="BF308" s="57"/>
      <c r="BG308" s="50"/>
      <c r="BH308" s="54"/>
      <c r="BI308" s="54"/>
      <c r="BJ308" s="50"/>
      <c r="BK308" s="50"/>
    </row>
    <row r="309" customFormat="false" ht="15" hidden="false" customHeight="false" outlineLevel="0" collapsed="false">
      <c r="A309" s="49" t="str">
        <f aca="false">IF(B309="","","PC-"&amp;TEXT(ROW()-2,"000"))</f>
        <v/>
      </c>
      <c r="B309" s="50"/>
      <c r="C309" s="50"/>
      <c r="D309" s="51"/>
      <c r="E309" s="51"/>
      <c r="F309" s="51"/>
      <c r="G309" s="50"/>
      <c r="H309" s="50"/>
      <c r="I309" s="50"/>
      <c r="J309" s="51"/>
      <c r="K309" s="50"/>
      <c r="L309" s="50"/>
      <c r="M309" s="50"/>
      <c r="N309" s="50"/>
      <c r="O309" s="52"/>
      <c r="P309" s="50"/>
      <c r="Q309" s="52"/>
      <c r="R309" s="52"/>
      <c r="S309" s="49" t="str">
        <f aca="false">IF(B309="","",IF(OR(O309="",R309=""),"—",IF(O309&lt;=R309,"⚠ RÉAPPRO","OK")))</f>
        <v/>
      </c>
      <c r="T309" s="50"/>
      <c r="U309" s="50"/>
      <c r="V309" s="50"/>
      <c r="W309" s="50"/>
      <c r="X309" s="50"/>
      <c r="Y309" s="53" t="str">
        <f aca="false">IF(B309="","",IF(X309="","—",IF(X309="Non classé","Non classé",IFERROR(INDEX(RefH_Classe,MATCH(TRIM(LEFT(X309,FIND(",",X309&amp;",")-1)),RefH_Code,0)),"Code H inconnu"))))</f>
        <v/>
      </c>
      <c r="Z309" s="50"/>
      <c r="AA309" s="50"/>
      <c r="AB309" s="51"/>
      <c r="AC309" s="51"/>
      <c r="AD309" s="51"/>
      <c r="AE309" s="51"/>
      <c r="AF309" s="50"/>
      <c r="AG309" s="51"/>
      <c r="AH309" s="54"/>
      <c r="AI309" s="51"/>
      <c r="AJ309" s="55" t="str">
        <f aca="false">IF(AH309="","",EDATE(AH309,60))</f>
        <v/>
      </c>
      <c r="AK309" s="49" t="str">
        <f aca="true">IF(B309="","",IF(OR(AG309="Non",AH309=""),"FDS ABSENTE",IF(TODAY()&gt;=EDATE(AH309,60),"EXPIRÉE",IF(TODAY()&gt;=EDATE(AH309,54),"À RENOUVELER","CONFORME"))))</f>
        <v/>
      </c>
      <c r="AL309" s="50"/>
      <c r="AM309" s="54"/>
      <c r="AN309" s="54"/>
      <c r="AO309" s="50"/>
      <c r="AP309" s="50"/>
      <c r="AQ309" s="50"/>
      <c r="AR309" s="50"/>
      <c r="AS309" s="50"/>
      <c r="AT309" s="50"/>
      <c r="AU309" s="50"/>
      <c r="AV309" s="50"/>
      <c r="AW309" s="52"/>
      <c r="AX309" s="52"/>
      <c r="AY309" s="56" t="str">
        <f aca="false">IF(OR(AW309="",AX309=""),"",AW309*AX309)</f>
        <v/>
      </c>
      <c r="AZ309" s="52"/>
      <c r="BA309" s="56" t="str">
        <f aca="false">IF(AY309="","",IF(AZ309="",AY309,ROUNDUP(AY309/AZ309,0)))</f>
        <v/>
      </c>
      <c r="BB309" s="49" t="str">
        <f aca="false">IF(BA309="","",IF(BA309&gt;=15,"P1 – Critique",IF(BA309&gt;=8,"P2 – Élevée",IF(BA309&gt;=4,"P3 – Modérée","P4 – Faible"))))</f>
        <v/>
      </c>
      <c r="BC309" s="50"/>
      <c r="BD309" s="50"/>
      <c r="BE309" s="54"/>
      <c r="BF309" s="57"/>
      <c r="BG309" s="50"/>
      <c r="BH309" s="54"/>
      <c r="BI309" s="54"/>
      <c r="BJ309" s="50"/>
      <c r="BK309" s="50"/>
    </row>
    <row r="310" customFormat="false" ht="15" hidden="false" customHeight="false" outlineLevel="0" collapsed="false">
      <c r="A310" s="49" t="str">
        <f aca="false">IF(B310="","","PC-"&amp;TEXT(ROW()-2,"000"))</f>
        <v/>
      </c>
      <c r="B310" s="50"/>
      <c r="C310" s="50"/>
      <c r="D310" s="51"/>
      <c r="E310" s="51"/>
      <c r="F310" s="51"/>
      <c r="G310" s="50"/>
      <c r="H310" s="50"/>
      <c r="I310" s="50"/>
      <c r="J310" s="51"/>
      <c r="K310" s="50"/>
      <c r="L310" s="50"/>
      <c r="M310" s="50"/>
      <c r="N310" s="50"/>
      <c r="O310" s="52"/>
      <c r="P310" s="50"/>
      <c r="Q310" s="52"/>
      <c r="R310" s="52"/>
      <c r="S310" s="49" t="str">
        <f aca="false">IF(B310="","",IF(OR(O310="",R310=""),"—",IF(O310&lt;=R310,"⚠ RÉAPPRO","OK")))</f>
        <v/>
      </c>
      <c r="T310" s="50"/>
      <c r="U310" s="50"/>
      <c r="V310" s="50"/>
      <c r="W310" s="50"/>
      <c r="X310" s="50"/>
      <c r="Y310" s="53" t="str">
        <f aca="false">IF(B310="","",IF(X310="","—",IF(X310="Non classé","Non classé",IFERROR(INDEX(RefH_Classe,MATCH(TRIM(LEFT(X310,FIND(",",X310&amp;",")-1)),RefH_Code,0)),"Code H inconnu"))))</f>
        <v/>
      </c>
      <c r="Z310" s="50"/>
      <c r="AA310" s="50"/>
      <c r="AB310" s="51"/>
      <c r="AC310" s="51"/>
      <c r="AD310" s="51"/>
      <c r="AE310" s="51"/>
      <c r="AF310" s="50"/>
      <c r="AG310" s="51"/>
      <c r="AH310" s="54"/>
      <c r="AI310" s="51"/>
      <c r="AJ310" s="55" t="str">
        <f aca="false">IF(AH310="","",EDATE(AH310,60))</f>
        <v/>
      </c>
      <c r="AK310" s="49" t="str">
        <f aca="true">IF(B310="","",IF(OR(AG310="Non",AH310=""),"FDS ABSENTE",IF(TODAY()&gt;=EDATE(AH310,60),"EXPIRÉE",IF(TODAY()&gt;=EDATE(AH310,54),"À RENOUVELER","CONFORME"))))</f>
        <v/>
      </c>
      <c r="AL310" s="50"/>
      <c r="AM310" s="54"/>
      <c r="AN310" s="54"/>
      <c r="AO310" s="50"/>
      <c r="AP310" s="50"/>
      <c r="AQ310" s="50"/>
      <c r="AR310" s="50"/>
      <c r="AS310" s="50"/>
      <c r="AT310" s="50"/>
      <c r="AU310" s="50"/>
      <c r="AV310" s="50"/>
      <c r="AW310" s="52"/>
      <c r="AX310" s="52"/>
      <c r="AY310" s="56" t="str">
        <f aca="false">IF(OR(AW310="",AX310=""),"",AW310*AX310)</f>
        <v/>
      </c>
      <c r="AZ310" s="52"/>
      <c r="BA310" s="56" t="str">
        <f aca="false">IF(AY310="","",IF(AZ310="",AY310,ROUNDUP(AY310/AZ310,0)))</f>
        <v/>
      </c>
      <c r="BB310" s="49" t="str">
        <f aca="false">IF(BA310="","",IF(BA310&gt;=15,"P1 – Critique",IF(BA310&gt;=8,"P2 – Élevée",IF(BA310&gt;=4,"P3 – Modérée","P4 – Faible"))))</f>
        <v/>
      </c>
      <c r="BC310" s="50"/>
      <c r="BD310" s="50"/>
      <c r="BE310" s="54"/>
      <c r="BF310" s="57"/>
      <c r="BG310" s="50"/>
      <c r="BH310" s="54"/>
      <c r="BI310" s="54"/>
      <c r="BJ310" s="50"/>
      <c r="BK310" s="50"/>
    </row>
    <row r="311" customFormat="false" ht="15" hidden="false" customHeight="false" outlineLevel="0" collapsed="false">
      <c r="A311" s="49" t="str">
        <f aca="false">IF(B311="","","PC-"&amp;TEXT(ROW()-2,"000"))</f>
        <v/>
      </c>
      <c r="B311" s="50"/>
      <c r="C311" s="50"/>
      <c r="D311" s="51"/>
      <c r="E311" s="51"/>
      <c r="F311" s="51"/>
      <c r="G311" s="50"/>
      <c r="H311" s="50"/>
      <c r="I311" s="50"/>
      <c r="J311" s="51"/>
      <c r="K311" s="50"/>
      <c r="L311" s="50"/>
      <c r="M311" s="50"/>
      <c r="N311" s="50"/>
      <c r="O311" s="52"/>
      <c r="P311" s="50"/>
      <c r="Q311" s="52"/>
      <c r="R311" s="52"/>
      <c r="S311" s="49" t="str">
        <f aca="false">IF(B311="","",IF(OR(O311="",R311=""),"—",IF(O311&lt;=R311,"⚠ RÉAPPRO","OK")))</f>
        <v/>
      </c>
      <c r="T311" s="50"/>
      <c r="U311" s="50"/>
      <c r="V311" s="50"/>
      <c r="W311" s="50"/>
      <c r="X311" s="50"/>
      <c r="Y311" s="53" t="str">
        <f aca="false">IF(B311="","",IF(X311="","—",IF(X311="Non classé","Non classé",IFERROR(INDEX(RefH_Classe,MATCH(TRIM(LEFT(X311,FIND(",",X311&amp;",")-1)),RefH_Code,0)),"Code H inconnu"))))</f>
        <v/>
      </c>
      <c r="Z311" s="50"/>
      <c r="AA311" s="50"/>
      <c r="AB311" s="51"/>
      <c r="AC311" s="51"/>
      <c r="AD311" s="51"/>
      <c r="AE311" s="51"/>
      <c r="AF311" s="50"/>
      <c r="AG311" s="51"/>
      <c r="AH311" s="54"/>
      <c r="AI311" s="51"/>
      <c r="AJ311" s="55" t="str">
        <f aca="false">IF(AH311="","",EDATE(AH311,60))</f>
        <v/>
      </c>
      <c r="AK311" s="49" t="str">
        <f aca="true">IF(B311="","",IF(OR(AG311="Non",AH311=""),"FDS ABSENTE",IF(TODAY()&gt;=EDATE(AH311,60),"EXPIRÉE",IF(TODAY()&gt;=EDATE(AH311,54),"À RENOUVELER","CONFORME"))))</f>
        <v/>
      </c>
      <c r="AL311" s="50"/>
      <c r="AM311" s="54"/>
      <c r="AN311" s="54"/>
      <c r="AO311" s="50"/>
      <c r="AP311" s="50"/>
      <c r="AQ311" s="50"/>
      <c r="AR311" s="50"/>
      <c r="AS311" s="50"/>
      <c r="AT311" s="50"/>
      <c r="AU311" s="50"/>
      <c r="AV311" s="50"/>
      <c r="AW311" s="52"/>
      <c r="AX311" s="52"/>
      <c r="AY311" s="56" t="str">
        <f aca="false">IF(OR(AW311="",AX311=""),"",AW311*AX311)</f>
        <v/>
      </c>
      <c r="AZ311" s="52"/>
      <c r="BA311" s="56" t="str">
        <f aca="false">IF(AY311="","",IF(AZ311="",AY311,ROUNDUP(AY311/AZ311,0)))</f>
        <v/>
      </c>
      <c r="BB311" s="49" t="str">
        <f aca="false">IF(BA311="","",IF(BA311&gt;=15,"P1 – Critique",IF(BA311&gt;=8,"P2 – Élevée",IF(BA311&gt;=4,"P3 – Modérée","P4 – Faible"))))</f>
        <v/>
      </c>
      <c r="BC311" s="50"/>
      <c r="BD311" s="50"/>
      <c r="BE311" s="54"/>
      <c r="BF311" s="57"/>
      <c r="BG311" s="50"/>
      <c r="BH311" s="54"/>
      <c r="BI311" s="54"/>
      <c r="BJ311" s="50"/>
      <c r="BK311" s="50"/>
    </row>
    <row r="312" customFormat="false" ht="15" hidden="false" customHeight="false" outlineLevel="0" collapsed="false">
      <c r="A312" s="49" t="str">
        <f aca="false">IF(B312="","","PC-"&amp;TEXT(ROW()-2,"000"))</f>
        <v/>
      </c>
      <c r="B312" s="50"/>
      <c r="C312" s="50"/>
      <c r="D312" s="51"/>
      <c r="E312" s="51"/>
      <c r="F312" s="51"/>
      <c r="G312" s="50"/>
      <c r="H312" s="50"/>
      <c r="I312" s="50"/>
      <c r="J312" s="51"/>
      <c r="K312" s="50"/>
      <c r="L312" s="50"/>
      <c r="M312" s="50"/>
      <c r="N312" s="50"/>
      <c r="O312" s="52"/>
      <c r="P312" s="50"/>
      <c r="Q312" s="52"/>
      <c r="R312" s="52"/>
      <c r="S312" s="49" t="str">
        <f aca="false">IF(B312="","",IF(OR(O312="",R312=""),"—",IF(O312&lt;=R312,"⚠ RÉAPPRO","OK")))</f>
        <v/>
      </c>
      <c r="T312" s="50"/>
      <c r="U312" s="50"/>
      <c r="V312" s="50"/>
      <c r="W312" s="50"/>
      <c r="X312" s="50"/>
      <c r="Y312" s="53" t="str">
        <f aca="false">IF(B312="","",IF(X312="","—",IF(X312="Non classé","Non classé",IFERROR(INDEX(RefH_Classe,MATCH(TRIM(LEFT(X312,FIND(",",X312&amp;",")-1)),RefH_Code,0)),"Code H inconnu"))))</f>
        <v/>
      </c>
      <c r="Z312" s="50"/>
      <c r="AA312" s="50"/>
      <c r="AB312" s="51"/>
      <c r="AC312" s="51"/>
      <c r="AD312" s="51"/>
      <c r="AE312" s="51"/>
      <c r="AF312" s="50"/>
      <c r="AG312" s="51"/>
      <c r="AH312" s="54"/>
      <c r="AI312" s="51"/>
      <c r="AJ312" s="55" t="str">
        <f aca="false">IF(AH312="","",EDATE(AH312,60))</f>
        <v/>
      </c>
      <c r="AK312" s="49" t="str">
        <f aca="true">IF(B312="","",IF(OR(AG312="Non",AH312=""),"FDS ABSENTE",IF(TODAY()&gt;=EDATE(AH312,60),"EXPIRÉE",IF(TODAY()&gt;=EDATE(AH312,54),"À RENOUVELER","CONFORME"))))</f>
        <v/>
      </c>
      <c r="AL312" s="50"/>
      <c r="AM312" s="54"/>
      <c r="AN312" s="54"/>
      <c r="AO312" s="50"/>
      <c r="AP312" s="50"/>
      <c r="AQ312" s="50"/>
      <c r="AR312" s="50"/>
      <c r="AS312" s="50"/>
      <c r="AT312" s="50"/>
      <c r="AU312" s="50"/>
      <c r="AV312" s="50"/>
      <c r="AW312" s="52"/>
      <c r="AX312" s="52"/>
      <c r="AY312" s="56" t="str">
        <f aca="false">IF(OR(AW312="",AX312=""),"",AW312*AX312)</f>
        <v/>
      </c>
      <c r="AZ312" s="52"/>
      <c r="BA312" s="56" t="str">
        <f aca="false">IF(AY312="","",IF(AZ312="",AY312,ROUNDUP(AY312/AZ312,0)))</f>
        <v/>
      </c>
      <c r="BB312" s="49" t="str">
        <f aca="false">IF(BA312="","",IF(BA312&gt;=15,"P1 – Critique",IF(BA312&gt;=8,"P2 – Élevée",IF(BA312&gt;=4,"P3 – Modérée","P4 – Faible"))))</f>
        <v/>
      </c>
      <c r="BC312" s="50"/>
      <c r="BD312" s="50"/>
      <c r="BE312" s="54"/>
      <c r="BF312" s="57"/>
      <c r="BG312" s="50"/>
      <c r="BH312" s="54"/>
      <c r="BI312" s="54"/>
      <c r="BJ312" s="50"/>
      <c r="BK312" s="50"/>
    </row>
    <row r="313" customFormat="false" ht="15" hidden="false" customHeight="false" outlineLevel="0" collapsed="false">
      <c r="A313" s="49" t="str">
        <f aca="false">IF(B313="","","PC-"&amp;TEXT(ROW()-2,"000"))</f>
        <v/>
      </c>
      <c r="B313" s="50"/>
      <c r="C313" s="50"/>
      <c r="D313" s="51"/>
      <c r="E313" s="51"/>
      <c r="F313" s="51"/>
      <c r="G313" s="50"/>
      <c r="H313" s="50"/>
      <c r="I313" s="50"/>
      <c r="J313" s="51"/>
      <c r="K313" s="50"/>
      <c r="L313" s="50"/>
      <c r="M313" s="50"/>
      <c r="N313" s="50"/>
      <c r="O313" s="52"/>
      <c r="P313" s="50"/>
      <c r="Q313" s="52"/>
      <c r="R313" s="52"/>
      <c r="S313" s="49" t="str">
        <f aca="false">IF(B313="","",IF(OR(O313="",R313=""),"—",IF(O313&lt;=R313,"⚠ RÉAPPRO","OK")))</f>
        <v/>
      </c>
      <c r="T313" s="50"/>
      <c r="U313" s="50"/>
      <c r="V313" s="50"/>
      <c r="W313" s="50"/>
      <c r="X313" s="50"/>
      <c r="Y313" s="53" t="str">
        <f aca="false">IF(B313="","",IF(X313="","—",IF(X313="Non classé","Non classé",IFERROR(INDEX(RefH_Classe,MATCH(TRIM(LEFT(X313,FIND(",",X313&amp;",")-1)),RefH_Code,0)),"Code H inconnu"))))</f>
        <v/>
      </c>
      <c r="Z313" s="50"/>
      <c r="AA313" s="50"/>
      <c r="AB313" s="51"/>
      <c r="AC313" s="51"/>
      <c r="AD313" s="51"/>
      <c r="AE313" s="51"/>
      <c r="AF313" s="50"/>
      <c r="AG313" s="51"/>
      <c r="AH313" s="54"/>
      <c r="AI313" s="51"/>
      <c r="AJ313" s="55" t="str">
        <f aca="false">IF(AH313="","",EDATE(AH313,60))</f>
        <v/>
      </c>
      <c r="AK313" s="49" t="str">
        <f aca="true">IF(B313="","",IF(OR(AG313="Non",AH313=""),"FDS ABSENTE",IF(TODAY()&gt;=EDATE(AH313,60),"EXPIRÉE",IF(TODAY()&gt;=EDATE(AH313,54),"À RENOUVELER","CONFORME"))))</f>
        <v/>
      </c>
      <c r="AL313" s="50"/>
      <c r="AM313" s="54"/>
      <c r="AN313" s="54"/>
      <c r="AO313" s="50"/>
      <c r="AP313" s="50"/>
      <c r="AQ313" s="50"/>
      <c r="AR313" s="50"/>
      <c r="AS313" s="50"/>
      <c r="AT313" s="50"/>
      <c r="AU313" s="50"/>
      <c r="AV313" s="50"/>
      <c r="AW313" s="52"/>
      <c r="AX313" s="52"/>
      <c r="AY313" s="56" t="str">
        <f aca="false">IF(OR(AW313="",AX313=""),"",AW313*AX313)</f>
        <v/>
      </c>
      <c r="AZ313" s="52"/>
      <c r="BA313" s="56" t="str">
        <f aca="false">IF(AY313="","",IF(AZ313="",AY313,ROUNDUP(AY313/AZ313,0)))</f>
        <v/>
      </c>
      <c r="BB313" s="49" t="str">
        <f aca="false">IF(BA313="","",IF(BA313&gt;=15,"P1 – Critique",IF(BA313&gt;=8,"P2 – Élevée",IF(BA313&gt;=4,"P3 – Modérée","P4 – Faible"))))</f>
        <v/>
      </c>
      <c r="BC313" s="50"/>
      <c r="BD313" s="50"/>
      <c r="BE313" s="54"/>
      <c r="BF313" s="57"/>
      <c r="BG313" s="50"/>
      <c r="BH313" s="54"/>
      <c r="BI313" s="54"/>
      <c r="BJ313" s="50"/>
      <c r="BK313" s="50"/>
    </row>
    <row r="314" customFormat="false" ht="15" hidden="false" customHeight="false" outlineLevel="0" collapsed="false">
      <c r="A314" s="49" t="str">
        <f aca="false">IF(B314="","","PC-"&amp;TEXT(ROW()-2,"000"))</f>
        <v/>
      </c>
      <c r="B314" s="50"/>
      <c r="C314" s="50"/>
      <c r="D314" s="51"/>
      <c r="E314" s="51"/>
      <c r="F314" s="51"/>
      <c r="G314" s="50"/>
      <c r="H314" s="50"/>
      <c r="I314" s="50"/>
      <c r="J314" s="51"/>
      <c r="K314" s="50"/>
      <c r="L314" s="50"/>
      <c r="M314" s="50"/>
      <c r="N314" s="50"/>
      <c r="O314" s="52"/>
      <c r="P314" s="50"/>
      <c r="Q314" s="52"/>
      <c r="R314" s="52"/>
      <c r="S314" s="49" t="str">
        <f aca="false">IF(B314="","",IF(OR(O314="",R314=""),"—",IF(O314&lt;=R314,"⚠ RÉAPPRO","OK")))</f>
        <v/>
      </c>
      <c r="T314" s="50"/>
      <c r="U314" s="50"/>
      <c r="V314" s="50"/>
      <c r="W314" s="50"/>
      <c r="X314" s="50"/>
      <c r="Y314" s="53" t="str">
        <f aca="false">IF(B314="","",IF(X314="","—",IF(X314="Non classé","Non classé",IFERROR(INDEX(RefH_Classe,MATCH(TRIM(LEFT(X314,FIND(",",X314&amp;",")-1)),RefH_Code,0)),"Code H inconnu"))))</f>
        <v/>
      </c>
      <c r="Z314" s="50"/>
      <c r="AA314" s="50"/>
      <c r="AB314" s="51"/>
      <c r="AC314" s="51"/>
      <c r="AD314" s="51"/>
      <c r="AE314" s="51"/>
      <c r="AF314" s="50"/>
      <c r="AG314" s="51"/>
      <c r="AH314" s="54"/>
      <c r="AI314" s="51"/>
      <c r="AJ314" s="55" t="str">
        <f aca="false">IF(AH314="","",EDATE(AH314,60))</f>
        <v/>
      </c>
      <c r="AK314" s="49" t="str">
        <f aca="true">IF(B314="","",IF(OR(AG314="Non",AH314=""),"FDS ABSENTE",IF(TODAY()&gt;=EDATE(AH314,60),"EXPIRÉE",IF(TODAY()&gt;=EDATE(AH314,54),"À RENOUVELER","CONFORME"))))</f>
        <v/>
      </c>
      <c r="AL314" s="50"/>
      <c r="AM314" s="54"/>
      <c r="AN314" s="54"/>
      <c r="AO314" s="50"/>
      <c r="AP314" s="50"/>
      <c r="AQ314" s="50"/>
      <c r="AR314" s="50"/>
      <c r="AS314" s="50"/>
      <c r="AT314" s="50"/>
      <c r="AU314" s="50"/>
      <c r="AV314" s="50"/>
      <c r="AW314" s="52"/>
      <c r="AX314" s="52"/>
      <c r="AY314" s="56" t="str">
        <f aca="false">IF(OR(AW314="",AX314=""),"",AW314*AX314)</f>
        <v/>
      </c>
      <c r="AZ314" s="52"/>
      <c r="BA314" s="56" t="str">
        <f aca="false">IF(AY314="","",IF(AZ314="",AY314,ROUNDUP(AY314/AZ314,0)))</f>
        <v/>
      </c>
      <c r="BB314" s="49" t="str">
        <f aca="false">IF(BA314="","",IF(BA314&gt;=15,"P1 – Critique",IF(BA314&gt;=8,"P2 – Élevée",IF(BA314&gt;=4,"P3 – Modérée","P4 – Faible"))))</f>
        <v/>
      </c>
      <c r="BC314" s="50"/>
      <c r="BD314" s="50"/>
      <c r="BE314" s="54"/>
      <c r="BF314" s="57"/>
      <c r="BG314" s="50"/>
      <c r="BH314" s="54"/>
      <c r="BI314" s="54"/>
      <c r="BJ314" s="50"/>
      <c r="BK314" s="50"/>
    </row>
    <row r="315" customFormat="false" ht="15" hidden="false" customHeight="false" outlineLevel="0" collapsed="false">
      <c r="A315" s="49" t="str">
        <f aca="false">IF(B315="","","PC-"&amp;TEXT(ROW()-2,"000"))</f>
        <v/>
      </c>
      <c r="B315" s="50"/>
      <c r="C315" s="50"/>
      <c r="D315" s="51"/>
      <c r="E315" s="51"/>
      <c r="F315" s="51"/>
      <c r="G315" s="50"/>
      <c r="H315" s="50"/>
      <c r="I315" s="50"/>
      <c r="J315" s="51"/>
      <c r="K315" s="50"/>
      <c r="L315" s="50"/>
      <c r="M315" s="50"/>
      <c r="N315" s="50"/>
      <c r="O315" s="52"/>
      <c r="P315" s="50"/>
      <c r="Q315" s="52"/>
      <c r="R315" s="52"/>
      <c r="S315" s="49" t="str">
        <f aca="false">IF(B315="","",IF(OR(O315="",R315=""),"—",IF(O315&lt;=R315,"⚠ RÉAPPRO","OK")))</f>
        <v/>
      </c>
      <c r="T315" s="50"/>
      <c r="U315" s="50"/>
      <c r="V315" s="50"/>
      <c r="W315" s="50"/>
      <c r="X315" s="50"/>
      <c r="Y315" s="53" t="str">
        <f aca="false">IF(B315="","",IF(X315="","—",IF(X315="Non classé","Non classé",IFERROR(INDEX(RefH_Classe,MATCH(TRIM(LEFT(X315,FIND(",",X315&amp;",")-1)),RefH_Code,0)),"Code H inconnu"))))</f>
        <v/>
      </c>
      <c r="Z315" s="50"/>
      <c r="AA315" s="50"/>
      <c r="AB315" s="51"/>
      <c r="AC315" s="51"/>
      <c r="AD315" s="51"/>
      <c r="AE315" s="51"/>
      <c r="AF315" s="50"/>
      <c r="AG315" s="51"/>
      <c r="AH315" s="54"/>
      <c r="AI315" s="51"/>
      <c r="AJ315" s="55" t="str">
        <f aca="false">IF(AH315="","",EDATE(AH315,60))</f>
        <v/>
      </c>
      <c r="AK315" s="49" t="str">
        <f aca="true">IF(B315="","",IF(OR(AG315="Non",AH315=""),"FDS ABSENTE",IF(TODAY()&gt;=EDATE(AH315,60),"EXPIRÉE",IF(TODAY()&gt;=EDATE(AH315,54),"À RENOUVELER","CONFORME"))))</f>
        <v/>
      </c>
      <c r="AL315" s="50"/>
      <c r="AM315" s="54"/>
      <c r="AN315" s="54"/>
      <c r="AO315" s="50"/>
      <c r="AP315" s="50"/>
      <c r="AQ315" s="50"/>
      <c r="AR315" s="50"/>
      <c r="AS315" s="50"/>
      <c r="AT315" s="50"/>
      <c r="AU315" s="50"/>
      <c r="AV315" s="50"/>
      <c r="AW315" s="52"/>
      <c r="AX315" s="52"/>
      <c r="AY315" s="56" t="str">
        <f aca="false">IF(OR(AW315="",AX315=""),"",AW315*AX315)</f>
        <v/>
      </c>
      <c r="AZ315" s="52"/>
      <c r="BA315" s="56" t="str">
        <f aca="false">IF(AY315="","",IF(AZ315="",AY315,ROUNDUP(AY315/AZ315,0)))</f>
        <v/>
      </c>
      <c r="BB315" s="49" t="str">
        <f aca="false">IF(BA315="","",IF(BA315&gt;=15,"P1 – Critique",IF(BA315&gt;=8,"P2 – Élevée",IF(BA315&gt;=4,"P3 – Modérée","P4 – Faible"))))</f>
        <v/>
      </c>
      <c r="BC315" s="50"/>
      <c r="BD315" s="50"/>
      <c r="BE315" s="54"/>
      <c r="BF315" s="57"/>
      <c r="BG315" s="50"/>
      <c r="BH315" s="54"/>
      <c r="BI315" s="54"/>
      <c r="BJ315" s="50"/>
      <c r="BK315" s="50"/>
    </row>
    <row r="316" customFormat="false" ht="15" hidden="false" customHeight="false" outlineLevel="0" collapsed="false">
      <c r="A316" s="49" t="str">
        <f aca="false">IF(B316="","","PC-"&amp;TEXT(ROW()-2,"000"))</f>
        <v/>
      </c>
      <c r="B316" s="50"/>
      <c r="C316" s="50"/>
      <c r="D316" s="51"/>
      <c r="E316" s="51"/>
      <c r="F316" s="51"/>
      <c r="G316" s="50"/>
      <c r="H316" s="50"/>
      <c r="I316" s="50"/>
      <c r="J316" s="51"/>
      <c r="K316" s="50"/>
      <c r="L316" s="50"/>
      <c r="M316" s="50"/>
      <c r="N316" s="50"/>
      <c r="O316" s="52"/>
      <c r="P316" s="50"/>
      <c r="Q316" s="52"/>
      <c r="R316" s="52"/>
      <c r="S316" s="49" t="str">
        <f aca="false">IF(B316="","",IF(OR(O316="",R316=""),"—",IF(O316&lt;=R316,"⚠ RÉAPPRO","OK")))</f>
        <v/>
      </c>
      <c r="T316" s="50"/>
      <c r="U316" s="50"/>
      <c r="V316" s="50"/>
      <c r="W316" s="50"/>
      <c r="X316" s="50"/>
      <c r="Y316" s="53" t="str">
        <f aca="false">IF(B316="","",IF(X316="","—",IF(X316="Non classé","Non classé",IFERROR(INDEX(RefH_Classe,MATCH(TRIM(LEFT(X316,FIND(",",X316&amp;",")-1)),RefH_Code,0)),"Code H inconnu"))))</f>
        <v/>
      </c>
      <c r="Z316" s="50"/>
      <c r="AA316" s="50"/>
      <c r="AB316" s="51"/>
      <c r="AC316" s="51"/>
      <c r="AD316" s="51"/>
      <c r="AE316" s="51"/>
      <c r="AF316" s="50"/>
      <c r="AG316" s="51"/>
      <c r="AH316" s="54"/>
      <c r="AI316" s="51"/>
      <c r="AJ316" s="55" t="str">
        <f aca="false">IF(AH316="","",EDATE(AH316,60))</f>
        <v/>
      </c>
      <c r="AK316" s="49" t="str">
        <f aca="true">IF(B316="","",IF(OR(AG316="Non",AH316=""),"FDS ABSENTE",IF(TODAY()&gt;=EDATE(AH316,60),"EXPIRÉE",IF(TODAY()&gt;=EDATE(AH316,54),"À RENOUVELER","CONFORME"))))</f>
        <v/>
      </c>
      <c r="AL316" s="50"/>
      <c r="AM316" s="54"/>
      <c r="AN316" s="54"/>
      <c r="AO316" s="50"/>
      <c r="AP316" s="50"/>
      <c r="AQ316" s="50"/>
      <c r="AR316" s="50"/>
      <c r="AS316" s="50"/>
      <c r="AT316" s="50"/>
      <c r="AU316" s="50"/>
      <c r="AV316" s="50"/>
      <c r="AW316" s="52"/>
      <c r="AX316" s="52"/>
      <c r="AY316" s="56" t="str">
        <f aca="false">IF(OR(AW316="",AX316=""),"",AW316*AX316)</f>
        <v/>
      </c>
      <c r="AZ316" s="52"/>
      <c r="BA316" s="56" t="str">
        <f aca="false">IF(AY316="","",IF(AZ316="",AY316,ROUNDUP(AY316/AZ316,0)))</f>
        <v/>
      </c>
      <c r="BB316" s="49" t="str">
        <f aca="false">IF(BA316="","",IF(BA316&gt;=15,"P1 – Critique",IF(BA316&gt;=8,"P2 – Élevée",IF(BA316&gt;=4,"P3 – Modérée","P4 – Faible"))))</f>
        <v/>
      </c>
      <c r="BC316" s="50"/>
      <c r="BD316" s="50"/>
      <c r="BE316" s="54"/>
      <c r="BF316" s="57"/>
      <c r="BG316" s="50"/>
      <c r="BH316" s="54"/>
      <c r="BI316" s="54"/>
      <c r="BJ316" s="50"/>
      <c r="BK316" s="50"/>
    </row>
    <row r="317" customFormat="false" ht="15" hidden="false" customHeight="false" outlineLevel="0" collapsed="false">
      <c r="A317" s="49" t="str">
        <f aca="false">IF(B317="","","PC-"&amp;TEXT(ROW()-2,"000"))</f>
        <v/>
      </c>
      <c r="B317" s="50"/>
      <c r="C317" s="50"/>
      <c r="D317" s="51"/>
      <c r="E317" s="51"/>
      <c r="F317" s="51"/>
      <c r="G317" s="50"/>
      <c r="H317" s="50"/>
      <c r="I317" s="50"/>
      <c r="J317" s="51"/>
      <c r="K317" s="50"/>
      <c r="L317" s="50"/>
      <c r="M317" s="50"/>
      <c r="N317" s="50"/>
      <c r="O317" s="52"/>
      <c r="P317" s="50"/>
      <c r="Q317" s="52"/>
      <c r="R317" s="52"/>
      <c r="S317" s="49" t="str">
        <f aca="false">IF(B317="","",IF(OR(O317="",R317=""),"—",IF(O317&lt;=R317,"⚠ RÉAPPRO","OK")))</f>
        <v/>
      </c>
      <c r="T317" s="50"/>
      <c r="U317" s="50"/>
      <c r="V317" s="50"/>
      <c r="W317" s="50"/>
      <c r="X317" s="50"/>
      <c r="Y317" s="53" t="str">
        <f aca="false">IF(B317="","",IF(X317="","—",IF(X317="Non classé","Non classé",IFERROR(INDEX(RefH_Classe,MATCH(TRIM(LEFT(X317,FIND(",",X317&amp;",")-1)),RefH_Code,0)),"Code H inconnu"))))</f>
        <v/>
      </c>
      <c r="Z317" s="50"/>
      <c r="AA317" s="50"/>
      <c r="AB317" s="51"/>
      <c r="AC317" s="51"/>
      <c r="AD317" s="51"/>
      <c r="AE317" s="51"/>
      <c r="AF317" s="50"/>
      <c r="AG317" s="51"/>
      <c r="AH317" s="54"/>
      <c r="AI317" s="51"/>
      <c r="AJ317" s="55" t="str">
        <f aca="false">IF(AH317="","",EDATE(AH317,60))</f>
        <v/>
      </c>
      <c r="AK317" s="49" t="str">
        <f aca="true">IF(B317="","",IF(OR(AG317="Non",AH317=""),"FDS ABSENTE",IF(TODAY()&gt;=EDATE(AH317,60),"EXPIRÉE",IF(TODAY()&gt;=EDATE(AH317,54),"À RENOUVELER","CONFORME"))))</f>
        <v/>
      </c>
      <c r="AL317" s="50"/>
      <c r="AM317" s="54"/>
      <c r="AN317" s="54"/>
      <c r="AO317" s="50"/>
      <c r="AP317" s="50"/>
      <c r="AQ317" s="50"/>
      <c r="AR317" s="50"/>
      <c r="AS317" s="50"/>
      <c r="AT317" s="50"/>
      <c r="AU317" s="50"/>
      <c r="AV317" s="50"/>
      <c r="AW317" s="52"/>
      <c r="AX317" s="52"/>
      <c r="AY317" s="56" t="str">
        <f aca="false">IF(OR(AW317="",AX317=""),"",AW317*AX317)</f>
        <v/>
      </c>
      <c r="AZ317" s="52"/>
      <c r="BA317" s="56" t="str">
        <f aca="false">IF(AY317="","",IF(AZ317="",AY317,ROUNDUP(AY317/AZ317,0)))</f>
        <v/>
      </c>
      <c r="BB317" s="49" t="str">
        <f aca="false">IF(BA317="","",IF(BA317&gt;=15,"P1 – Critique",IF(BA317&gt;=8,"P2 – Élevée",IF(BA317&gt;=4,"P3 – Modérée","P4 – Faible"))))</f>
        <v/>
      </c>
      <c r="BC317" s="50"/>
      <c r="BD317" s="50"/>
      <c r="BE317" s="54"/>
      <c r="BF317" s="57"/>
      <c r="BG317" s="50"/>
      <c r="BH317" s="54"/>
      <c r="BI317" s="54"/>
      <c r="BJ317" s="50"/>
      <c r="BK317" s="50"/>
    </row>
    <row r="318" customFormat="false" ht="15" hidden="false" customHeight="false" outlineLevel="0" collapsed="false">
      <c r="A318" s="49" t="str">
        <f aca="false">IF(B318="","","PC-"&amp;TEXT(ROW()-2,"000"))</f>
        <v/>
      </c>
      <c r="B318" s="50"/>
      <c r="C318" s="50"/>
      <c r="D318" s="51"/>
      <c r="E318" s="51"/>
      <c r="F318" s="51"/>
      <c r="G318" s="50"/>
      <c r="H318" s="50"/>
      <c r="I318" s="50"/>
      <c r="J318" s="51"/>
      <c r="K318" s="50"/>
      <c r="L318" s="50"/>
      <c r="M318" s="50"/>
      <c r="N318" s="50"/>
      <c r="O318" s="52"/>
      <c r="P318" s="50"/>
      <c r="Q318" s="52"/>
      <c r="R318" s="52"/>
      <c r="S318" s="49" t="str">
        <f aca="false">IF(B318="","",IF(OR(O318="",R318=""),"—",IF(O318&lt;=R318,"⚠ RÉAPPRO","OK")))</f>
        <v/>
      </c>
      <c r="T318" s="50"/>
      <c r="U318" s="50"/>
      <c r="V318" s="50"/>
      <c r="W318" s="50"/>
      <c r="X318" s="50"/>
      <c r="Y318" s="53" t="str">
        <f aca="false">IF(B318="","",IF(X318="","—",IF(X318="Non classé","Non classé",IFERROR(INDEX(RefH_Classe,MATCH(TRIM(LEFT(X318,FIND(",",X318&amp;",")-1)),RefH_Code,0)),"Code H inconnu"))))</f>
        <v/>
      </c>
      <c r="Z318" s="50"/>
      <c r="AA318" s="50"/>
      <c r="AB318" s="51"/>
      <c r="AC318" s="51"/>
      <c r="AD318" s="51"/>
      <c r="AE318" s="51"/>
      <c r="AF318" s="50"/>
      <c r="AG318" s="51"/>
      <c r="AH318" s="54"/>
      <c r="AI318" s="51"/>
      <c r="AJ318" s="55" t="str">
        <f aca="false">IF(AH318="","",EDATE(AH318,60))</f>
        <v/>
      </c>
      <c r="AK318" s="49" t="str">
        <f aca="true">IF(B318="","",IF(OR(AG318="Non",AH318=""),"FDS ABSENTE",IF(TODAY()&gt;=EDATE(AH318,60),"EXPIRÉE",IF(TODAY()&gt;=EDATE(AH318,54),"À RENOUVELER","CONFORME"))))</f>
        <v/>
      </c>
      <c r="AL318" s="50"/>
      <c r="AM318" s="54"/>
      <c r="AN318" s="54"/>
      <c r="AO318" s="50"/>
      <c r="AP318" s="50"/>
      <c r="AQ318" s="50"/>
      <c r="AR318" s="50"/>
      <c r="AS318" s="50"/>
      <c r="AT318" s="50"/>
      <c r="AU318" s="50"/>
      <c r="AV318" s="50"/>
      <c r="AW318" s="52"/>
      <c r="AX318" s="52"/>
      <c r="AY318" s="56" t="str">
        <f aca="false">IF(OR(AW318="",AX318=""),"",AW318*AX318)</f>
        <v/>
      </c>
      <c r="AZ318" s="52"/>
      <c r="BA318" s="56" t="str">
        <f aca="false">IF(AY318="","",IF(AZ318="",AY318,ROUNDUP(AY318/AZ318,0)))</f>
        <v/>
      </c>
      <c r="BB318" s="49" t="str">
        <f aca="false">IF(BA318="","",IF(BA318&gt;=15,"P1 – Critique",IF(BA318&gt;=8,"P2 – Élevée",IF(BA318&gt;=4,"P3 – Modérée","P4 – Faible"))))</f>
        <v/>
      </c>
      <c r="BC318" s="50"/>
      <c r="BD318" s="50"/>
      <c r="BE318" s="54"/>
      <c r="BF318" s="57"/>
      <c r="BG318" s="50"/>
      <c r="BH318" s="54"/>
      <c r="BI318" s="54"/>
      <c r="BJ318" s="50"/>
      <c r="BK318" s="50"/>
    </row>
    <row r="319" customFormat="false" ht="15" hidden="false" customHeight="false" outlineLevel="0" collapsed="false">
      <c r="A319" s="49" t="str">
        <f aca="false">IF(B319="","","PC-"&amp;TEXT(ROW()-2,"000"))</f>
        <v/>
      </c>
      <c r="B319" s="50"/>
      <c r="C319" s="50"/>
      <c r="D319" s="51"/>
      <c r="E319" s="51"/>
      <c r="F319" s="51"/>
      <c r="G319" s="50"/>
      <c r="H319" s="50"/>
      <c r="I319" s="50"/>
      <c r="J319" s="51"/>
      <c r="K319" s="50"/>
      <c r="L319" s="50"/>
      <c r="M319" s="50"/>
      <c r="N319" s="50"/>
      <c r="O319" s="52"/>
      <c r="P319" s="50"/>
      <c r="Q319" s="52"/>
      <c r="R319" s="52"/>
      <c r="S319" s="49" t="str">
        <f aca="false">IF(B319="","",IF(OR(O319="",R319=""),"—",IF(O319&lt;=R319,"⚠ RÉAPPRO","OK")))</f>
        <v/>
      </c>
      <c r="T319" s="50"/>
      <c r="U319" s="50"/>
      <c r="V319" s="50"/>
      <c r="W319" s="50"/>
      <c r="X319" s="50"/>
      <c r="Y319" s="53" t="str">
        <f aca="false">IF(B319="","",IF(X319="","—",IF(X319="Non classé","Non classé",IFERROR(INDEX(RefH_Classe,MATCH(TRIM(LEFT(X319,FIND(",",X319&amp;",")-1)),RefH_Code,0)),"Code H inconnu"))))</f>
        <v/>
      </c>
      <c r="Z319" s="50"/>
      <c r="AA319" s="50"/>
      <c r="AB319" s="51"/>
      <c r="AC319" s="51"/>
      <c r="AD319" s="51"/>
      <c r="AE319" s="51"/>
      <c r="AF319" s="50"/>
      <c r="AG319" s="51"/>
      <c r="AH319" s="54"/>
      <c r="AI319" s="51"/>
      <c r="AJ319" s="55" t="str">
        <f aca="false">IF(AH319="","",EDATE(AH319,60))</f>
        <v/>
      </c>
      <c r="AK319" s="49" t="str">
        <f aca="true">IF(B319="","",IF(OR(AG319="Non",AH319=""),"FDS ABSENTE",IF(TODAY()&gt;=EDATE(AH319,60),"EXPIRÉE",IF(TODAY()&gt;=EDATE(AH319,54),"À RENOUVELER","CONFORME"))))</f>
        <v/>
      </c>
      <c r="AL319" s="50"/>
      <c r="AM319" s="54"/>
      <c r="AN319" s="54"/>
      <c r="AO319" s="50"/>
      <c r="AP319" s="50"/>
      <c r="AQ319" s="50"/>
      <c r="AR319" s="50"/>
      <c r="AS319" s="50"/>
      <c r="AT319" s="50"/>
      <c r="AU319" s="50"/>
      <c r="AV319" s="50"/>
      <c r="AW319" s="52"/>
      <c r="AX319" s="52"/>
      <c r="AY319" s="56" t="str">
        <f aca="false">IF(OR(AW319="",AX319=""),"",AW319*AX319)</f>
        <v/>
      </c>
      <c r="AZ319" s="52"/>
      <c r="BA319" s="56" t="str">
        <f aca="false">IF(AY319="","",IF(AZ319="",AY319,ROUNDUP(AY319/AZ319,0)))</f>
        <v/>
      </c>
      <c r="BB319" s="49" t="str">
        <f aca="false">IF(BA319="","",IF(BA319&gt;=15,"P1 – Critique",IF(BA319&gt;=8,"P2 – Élevée",IF(BA319&gt;=4,"P3 – Modérée","P4 – Faible"))))</f>
        <v/>
      </c>
      <c r="BC319" s="50"/>
      <c r="BD319" s="50"/>
      <c r="BE319" s="54"/>
      <c r="BF319" s="57"/>
      <c r="BG319" s="50"/>
      <c r="BH319" s="54"/>
      <c r="BI319" s="54"/>
      <c r="BJ319" s="50"/>
      <c r="BK319" s="50"/>
    </row>
    <row r="320" customFormat="false" ht="15" hidden="false" customHeight="false" outlineLevel="0" collapsed="false">
      <c r="A320" s="49" t="str">
        <f aca="false">IF(B320="","","PC-"&amp;TEXT(ROW()-2,"000"))</f>
        <v/>
      </c>
      <c r="B320" s="50"/>
      <c r="C320" s="50"/>
      <c r="D320" s="51"/>
      <c r="E320" s="51"/>
      <c r="F320" s="51"/>
      <c r="G320" s="50"/>
      <c r="H320" s="50"/>
      <c r="I320" s="50"/>
      <c r="J320" s="51"/>
      <c r="K320" s="50"/>
      <c r="L320" s="50"/>
      <c r="M320" s="50"/>
      <c r="N320" s="50"/>
      <c r="O320" s="52"/>
      <c r="P320" s="50"/>
      <c r="Q320" s="52"/>
      <c r="R320" s="52"/>
      <c r="S320" s="49" t="str">
        <f aca="false">IF(B320="","",IF(OR(O320="",R320=""),"—",IF(O320&lt;=R320,"⚠ RÉAPPRO","OK")))</f>
        <v/>
      </c>
      <c r="T320" s="50"/>
      <c r="U320" s="50"/>
      <c r="V320" s="50"/>
      <c r="W320" s="50"/>
      <c r="X320" s="50"/>
      <c r="Y320" s="53" t="str">
        <f aca="false">IF(B320="","",IF(X320="","—",IF(X320="Non classé","Non classé",IFERROR(INDEX(RefH_Classe,MATCH(TRIM(LEFT(X320,FIND(",",X320&amp;",")-1)),RefH_Code,0)),"Code H inconnu"))))</f>
        <v/>
      </c>
      <c r="Z320" s="50"/>
      <c r="AA320" s="50"/>
      <c r="AB320" s="51"/>
      <c r="AC320" s="51"/>
      <c r="AD320" s="51"/>
      <c r="AE320" s="51"/>
      <c r="AF320" s="50"/>
      <c r="AG320" s="51"/>
      <c r="AH320" s="54"/>
      <c r="AI320" s="51"/>
      <c r="AJ320" s="55" t="str">
        <f aca="false">IF(AH320="","",EDATE(AH320,60))</f>
        <v/>
      </c>
      <c r="AK320" s="49" t="str">
        <f aca="true">IF(B320="","",IF(OR(AG320="Non",AH320=""),"FDS ABSENTE",IF(TODAY()&gt;=EDATE(AH320,60),"EXPIRÉE",IF(TODAY()&gt;=EDATE(AH320,54),"À RENOUVELER","CONFORME"))))</f>
        <v/>
      </c>
      <c r="AL320" s="50"/>
      <c r="AM320" s="54"/>
      <c r="AN320" s="54"/>
      <c r="AO320" s="50"/>
      <c r="AP320" s="50"/>
      <c r="AQ320" s="50"/>
      <c r="AR320" s="50"/>
      <c r="AS320" s="50"/>
      <c r="AT320" s="50"/>
      <c r="AU320" s="50"/>
      <c r="AV320" s="50"/>
      <c r="AW320" s="52"/>
      <c r="AX320" s="52"/>
      <c r="AY320" s="56" t="str">
        <f aca="false">IF(OR(AW320="",AX320=""),"",AW320*AX320)</f>
        <v/>
      </c>
      <c r="AZ320" s="52"/>
      <c r="BA320" s="56" t="str">
        <f aca="false">IF(AY320="","",IF(AZ320="",AY320,ROUNDUP(AY320/AZ320,0)))</f>
        <v/>
      </c>
      <c r="BB320" s="49" t="str">
        <f aca="false">IF(BA320="","",IF(BA320&gt;=15,"P1 – Critique",IF(BA320&gt;=8,"P2 – Élevée",IF(BA320&gt;=4,"P3 – Modérée","P4 – Faible"))))</f>
        <v/>
      </c>
      <c r="BC320" s="50"/>
      <c r="BD320" s="50"/>
      <c r="BE320" s="54"/>
      <c r="BF320" s="57"/>
      <c r="BG320" s="50"/>
      <c r="BH320" s="54"/>
      <c r="BI320" s="54"/>
      <c r="BJ320" s="50"/>
      <c r="BK320" s="50"/>
    </row>
    <row r="321" customFormat="false" ht="15" hidden="false" customHeight="false" outlineLevel="0" collapsed="false">
      <c r="A321" s="49" t="str">
        <f aca="false">IF(B321="","","PC-"&amp;TEXT(ROW()-2,"000"))</f>
        <v/>
      </c>
      <c r="B321" s="50"/>
      <c r="C321" s="50"/>
      <c r="D321" s="51"/>
      <c r="E321" s="51"/>
      <c r="F321" s="51"/>
      <c r="G321" s="50"/>
      <c r="H321" s="50"/>
      <c r="I321" s="50"/>
      <c r="J321" s="51"/>
      <c r="K321" s="50"/>
      <c r="L321" s="50"/>
      <c r="M321" s="50"/>
      <c r="N321" s="50"/>
      <c r="O321" s="52"/>
      <c r="P321" s="50"/>
      <c r="Q321" s="52"/>
      <c r="R321" s="52"/>
      <c r="S321" s="49" t="str">
        <f aca="false">IF(B321="","",IF(OR(O321="",R321=""),"—",IF(O321&lt;=R321,"⚠ RÉAPPRO","OK")))</f>
        <v/>
      </c>
      <c r="T321" s="50"/>
      <c r="U321" s="50"/>
      <c r="V321" s="50"/>
      <c r="W321" s="50"/>
      <c r="X321" s="50"/>
      <c r="Y321" s="53" t="str">
        <f aca="false">IF(B321="","",IF(X321="","—",IF(X321="Non classé","Non classé",IFERROR(INDEX(RefH_Classe,MATCH(TRIM(LEFT(X321,FIND(",",X321&amp;",")-1)),RefH_Code,0)),"Code H inconnu"))))</f>
        <v/>
      </c>
      <c r="Z321" s="50"/>
      <c r="AA321" s="50"/>
      <c r="AB321" s="51"/>
      <c r="AC321" s="51"/>
      <c r="AD321" s="51"/>
      <c r="AE321" s="51"/>
      <c r="AF321" s="50"/>
      <c r="AG321" s="51"/>
      <c r="AH321" s="54"/>
      <c r="AI321" s="51"/>
      <c r="AJ321" s="55" t="str">
        <f aca="false">IF(AH321="","",EDATE(AH321,60))</f>
        <v/>
      </c>
      <c r="AK321" s="49" t="str">
        <f aca="true">IF(B321="","",IF(OR(AG321="Non",AH321=""),"FDS ABSENTE",IF(TODAY()&gt;=EDATE(AH321,60),"EXPIRÉE",IF(TODAY()&gt;=EDATE(AH321,54),"À RENOUVELER","CONFORME"))))</f>
        <v/>
      </c>
      <c r="AL321" s="50"/>
      <c r="AM321" s="54"/>
      <c r="AN321" s="54"/>
      <c r="AO321" s="50"/>
      <c r="AP321" s="50"/>
      <c r="AQ321" s="50"/>
      <c r="AR321" s="50"/>
      <c r="AS321" s="50"/>
      <c r="AT321" s="50"/>
      <c r="AU321" s="50"/>
      <c r="AV321" s="50"/>
      <c r="AW321" s="52"/>
      <c r="AX321" s="52"/>
      <c r="AY321" s="56" t="str">
        <f aca="false">IF(OR(AW321="",AX321=""),"",AW321*AX321)</f>
        <v/>
      </c>
      <c r="AZ321" s="52"/>
      <c r="BA321" s="56" t="str">
        <f aca="false">IF(AY321="","",IF(AZ321="",AY321,ROUNDUP(AY321/AZ321,0)))</f>
        <v/>
      </c>
      <c r="BB321" s="49" t="str">
        <f aca="false">IF(BA321="","",IF(BA321&gt;=15,"P1 – Critique",IF(BA321&gt;=8,"P2 – Élevée",IF(BA321&gt;=4,"P3 – Modérée","P4 – Faible"))))</f>
        <v/>
      </c>
      <c r="BC321" s="50"/>
      <c r="BD321" s="50"/>
      <c r="BE321" s="54"/>
      <c r="BF321" s="57"/>
      <c r="BG321" s="50"/>
      <c r="BH321" s="54"/>
      <c r="BI321" s="54"/>
      <c r="BJ321" s="50"/>
      <c r="BK321" s="50"/>
    </row>
    <row r="322" customFormat="false" ht="15" hidden="false" customHeight="false" outlineLevel="0" collapsed="false">
      <c r="A322" s="49" t="str">
        <f aca="false">IF(B322="","","PC-"&amp;TEXT(ROW()-2,"000"))</f>
        <v/>
      </c>
      <c r="B322" s="50"/>
      <c r="C322" s="50"/>
      <c r="D322" s="51"/>
      <c r="E322" s="51"/>
      <c r="F322" s="51"/>
      <c r="G322" s="50"/>
      <c r="H322" s="50"/>
      <c r="I322" s="50"/>
      <c r="J322" s="51"/>
      <c r="K322" s="50"/>
      <c r="L322" s="50"/>
      <c r="M322" s="50"/>
      <c r="N322" s="50"/>
      <c r="O322" s="52"/>
      <c r="P322" s="50"/>
      <c r="Q322" s="52"/>
      <c r="R322" s="52"/>
      <c r="S322" s="49" t="str">
        <f aca="false">IF(B322="","",IF(OR(O322="",R322=""),"—",IF(O322&lt;=R322,"⚠ RÉAPPRO","OK")))</f>
        <v/>
      </c>
      <c r="T322" s="50"/>
      <c r="U322" s="50"/>
      <c r="V322" s="50"/>
      <c r="W322" s="50"/>
      <c r="X322" s="50"/>
      <c r="Y322" s="53" t="str">
        <f aca="false">IF(B322="","",IF(X322="","—",IF(X322="Non classé","Non classé",IFERROR(INDEX(RefH_Classe,MATCH(TRIM(LEFT(X322,FIND(",",X322&amp;",")-1)),RefH_Code,0)),"Code H inconnu"))))</f>
        <v/>
      </c>
      <c r="Z322" s="50"/>
      <c r="AA322" s="50"/>
      <c r="AB322" s="51"/>
      <c r="AC322" s="51"/>
      <c r="AD322" s="51"/>
      <c r="AE322" s="51"/>
      <c r="AF322" s="50"/>
      <c r="AG322" s="51"/>
      <c r="AH322" s="54"/>
      <c r="AI322" s="51"/>
      <c r="AJ322" s="55" t="str">
        <f aca="false">IF(AH322="","",EDATE(AH322,60))</f>
        <v/>
      </c>
      <c r="AK322" s="49" t="str">
        <f aca="true">IF(B322="","",IF(OR(AG322="Non",AH322=""),"FDS ABSENTE",IF(TODAY()&gt;=EDATE(AH322,60),"EXPIRÉE",IF(TODAY()&gt;=EDATE(AH322,54),"À RENOUVELER","CONFORME"))))</f>
        <v/>
      </c>
      <c r="AL322" s="50"/>
      <c r="AM322" s="54"/>
      <c r="AN322" s="54"/>
      <c r="AO322" s="50"/>
      <c r="AP322" s="50"/>
      <c r="AQ322" s="50"/>
      <c r="AR322" s="50"/>
      <c r="AS322" s="50"/>
      <c r="AT322" s="50"/>
      <c r="AU322" s="50"/>
      <c r="AV322" s="50"/>
      <c r="AW322" s="52"/>
      <c r="AX322" s="52"/>
      <c r="AY322" s="56" t="str">
        <f aca="false">IF(OR(AW322="",AX322=""),"",AW322*AX322)</f>
        <v/>
      </c>
      <c r="AZ322" s="52"/>
      <c r="BA322" s="56" t="str">
        <f aca="false">IF(AY322="","",IF(AZ322="",AY322,ROUNDUP(AY322/AZ322,0)))</f>
        <v/>
      </c>
      <c r="BB322" s="49" t="str">
        <f aca="false">IF(BA322="","",IF(BA322&gt;=15,"P1 – Critique",IF(BA322&gt;=8,"P2 – Élevée",IF(BA322&gt;=4,"P3 – Modérée","P4 – Faible"))))</f>
        <v/>
      </c>
      <c r="BC322" s="50"/>
      <c r="BD322" s="50"/>
      <c r="BE322" s="54"/>
      <c r="BF322" s="57"/>
      <c r="BG322" s="50"/>
      <c r="BH322" s="54"/>
      <c r="BI322" s="54"/>
      <c r="BJ322" s="50"/>
      <c r="BK322" s="50"/>
    </row>
  </sheetData>
  <sheetProtection sheet="true" password="df18" formatCells="false" formatColumns="false" formatRows="false" insertRows="false" deleteRows="false" sort="false" autoFilter="false"/>
  <mergeCells count="8">
    <mergeCell ref="A1:H1"/>
    <mergeCell ref="I1:M1"/>
    <mergeCell ref="N1:S1"/>
    <mergeCell ref="T1:AF1"/>
    <mergeCell ref="AG1:AN1"/>
    <mergeCell ref="AO1:AV1"/>
    <mergeCell ref="AW1:BG1"/>
    <mergeCell ref="BH1:BK1"/>
  </mergeCells>
  <conditionalFormatting sqref="A3:BK322">
    <cfRule type="expression" priority="2" aboveAverage="0" equalAverage="0" bottom="0" percent="0" rank="0" text="" dxfId="23">
      <formula>$AK3="FDS ABSENTE"</formula>
    </cfRule>
  </conditionalFormatting>
  <conditionalFormatting sqref="AK3:AK322">
    <cfRule type="cellIs" priority="3" operator="equal" aboveAverage="0" equalAverage="0" bottom="0" percent="0" rank="0" text="" dxfId="24">
      <formula>"CONFORME"</formula>
    </cfRule>
    <cfRule type="cellIs" priority="4" operator="equal" aboveAverage="0" equalAverage="0" bottom="0" percent="0" rank="0" text="" dxfId="25">
      <formula>"À RENOUVELER"</formula>
    </cfRule>
    <cfRule type="cellIs" priority="5" operator="equal" aboveAverage="0" equalAverage="0" bottom="0" percent="0" rank="0" text="" dxfId="26">
      <formula>"EXPIRÉE"</formula>
    </cfRule>
    <cfRule type="cellIs" priority="6" operator="equal" aboveAverage="0" equalAverage="0" bottom="0" percent="0" rank="0" text="" dxfId="27">
      <formula>"FDS ABSENTE"</formula>
    </cfRule>
  </conditionalFormatting>
  <conditionalFormatting sqref="AG3:AG322">
    <cfRule type="cellIs" priority="7" operator="equal" aboveAverage="0" equalAverage="0" bottom="0" percent="0" rank="0" text="" dxfId="26">
      <formula>"Non"</formula>
    </cfRule>
  </conditionalFormatting>
  <conditionalFormatting sqref="S3:S322">
    <cfRule type="expression" priority="8" aboveAverage="0" equalAverage="0" bottom="0" percent="0" rank="0" text="" dxfId="26">
      <formula>ISNUMBER(SEARCH("RÉAPPRO",S3))</formula>
    </cfRule>
  </conditionalFormatting>
  <conditionalFormatting sqref="AB3:AB322">
    <cfRule type="cellIs" priority="9" operator="equal" aboveAverage="0" equalAverage="0" bottom="0" percent="0" rank="0" text="" dxfId="28">
      <formula>"Oui"</formula>
    </cfRule>
  </conditionalFormatting>
  <conditionalFormatting sqref="AY3:AY322">
    <cfRule type="expression" priority="10" aboveAverage="0" equalAverage="0" bottom="0" percent="0" rank="0" text="" dxfId="28">
      <formula>AND(ISNUMBER(AY3),AY3&gt;=15)</formula>
    </cfRule>
    <cfRule type="expression" priority="11" aboveAverage="0" equalAverage="0" bottom="0" percent="0" rank="0" text="" dxfId="29">
      <formula>AND(ISNUMBER(AY3),AY3&gt;=8)</formula>
    </cfRule>
    <cfRule type="expression" priority="12" aboveAverage="0" equalAverage="0" bottom="0" percent="0" rank="0" text="" dxfId="30">
      <formula>AND(ISNUMBER(AY3),AY3&gt;=4)</formula>
    </cfRule>
    <cfRule type="expression" priority="13" aboveAverage="0" equalAverage="0" bottom="0" percent="0" rank="0" text="" dxfId="24">
      <formula>AND(ISNUMBER(AY3),AY3&gt;=1)</formula>
    </cfRule>
  </conditionalFormatting>
  <conditionalFormatting sqref="BA3:BA322">
    <cfRule type="expression" priority="14" aboveAverage="0" equalAverage="0" bottom="0" percent="0" rank="0" text="" dxfId="28">
      <formula>AND(ISNUMBER(BA3),BA3&gt;=15)</formula>
    </cfRule>
    <cfRule type="expression" priority="15" aboveAverage="0" equalAverage="0" bottom="0" percent="0" rank="0" text="" dxfId="29">
      <formula>AND(ISNUMBER(BA3),BA3&gt;=8)</formula>
    </cfRule>
    <cfRule type="expression" priority="16" aboveAverage="0" equalAverage="0" bottom="0" percent="0" rank="0" text="" dxfId="30">
      <formula>AND(ISNUMBER(BA3),BA3&gt;=4)</formula>
    </cfRule>
    <cfRule type="expression" priority="17" aboveAverage="0" equalAverage="0" bottom="0" percent="0" rank="0" text="" dxfId="24">
      <formula>AND(ISNUMBER(BA3),BA3&gt;=1)</formula>
    </cfRule>
  </conditionalFormatting>
  <conditionalFormatting sqref="BB3:BB322">
    <cfRule type="cellIs" priority="18" operator="equal" aboveAverage="0" equalAverage="0" bottom="0" percent="0" rank="0" text="" dxfId="28">
      <formula>"P1 – Critique"</formula>
    </cfRule>
    <cfRule type="cellIs" priority="19" operator="equal" aboveAverage="0" equalAverage="0" bottom="0" percent="0" rank="0" text="" dxfId="29">
      <formula>"P2 – Élevée"</formula>
    </cfRule>
    <cfRule type="cellIs" priority="20" operator="equal" aboveAverage="0" equalAverage="0" bottom="0" percent="0" rank="0" text="" dxfId="30">
      <formula>"P3 – Modérée"</formula>
    </cfRule>
    <cfRule type="cellIs" priority="21" operator="equal" aboveAverage="0" equalAverage="0" bottom="0" percent="0" rank="0" text="" dxfId="24">
      <formula>"P4 – Faible"</formula>
    </cfRule>
  </conditionalFormatting>
  <conditionalFormatting sqref="O3:O322">
    <cfRule type="dataBar" priority="22">
      <dataBar showValue="1" minLength="10" maxLength="90">
        <cfvo type="num" val="0"/>
        <cfvo type="max" val="0"/>
        <color rgb="FF2E8FCE"/>
      </dataBar>
      <extLst>
        <ext xmlns:x14="http://schemas.microsoft.com/office/spreadsheetml/2009/9/main" uri="{B025F937-C7B1-47D3-B67F-A62EFF666E3E}">
          <x14:id>{63DCE15A-246F-4A4D-AB74-C7A84D69B390}</x14:id>
        </ext>
      </extLst>
    </cfRule>
  </conditionalFormatting>
  <conditionalFormatting sqref="Q3:Q322">
    <cfRule type="dataBar" priority="23">
      <dataBar showValue="1" minLength="10" maxLength="90">
        <cfvo type="num" val="0"/>
        <cfvo type="max" val="0"/>
        <color rgb="FFFBB833"/>
      </dataBar>
      <extLst>
        <ext xmlns:x14="http://schemas.microsoft.com/office/spreadsheetml/2009/9/main" uri="{B025F937-C7B1-47D3-B67F-A62EFF666E3E}">
          <x14:id>{20AD15B2-814F-4947-8DFD-721968B29438}</x14:id>
        </ext>
      </extLst>
    </cfRule>
  </conditionalFormatting>
  <conditionalFormatting sqref="BE3:BE322">
    <cfRule type="expression" priority="24" aboveAverage="0" equalAverage="0" bottom="0" percent="0" rank="0" text="" dxfId="26">
      <formula>AND($BE3&lt;&gt;"",$BE3&lt;TODAY(),$BG3&lt;&gt;"Clôturée")</formula>
    </cfRule>
  </conditionalFormatting>
  <dataValidations count="18">
    <dataValidation allowBlank="true" error="Choisissez une valeur de la liste (ou ajoutez-la d'abord dans l'onglet PARAMÈTRES)." errorStyle="stop" errorTitle="Valeur hors liste" operator="between" showDropDown="false" showErrorMessage="false" showInputMessage="false" sqref="G3:G322" type="list">
      <formula1>L_Fournisseurs</formula1>
      <formula2>0</formula2>
    </dataValidation>
    <dataValidation allowBlank="true" error="Choisissez une valeur de la liste (ou ajoutez-la d'abord dans l'onglet PARAMÈTRES)." errorStyle="stop" errorTitle="Valeur hors liste" operator="between" showDropDown="false" showErrorMessage="false" showInputMessage="false" sqref="I3:I322" type="list">
      <formula1>L_Sites</formula1>
      <formula2>0</formula2>
    </dataValidation>
    <dataValidation allowBlank="true" error="Choisissez une valeur de la liste (ou ajoutez-la d'abord dans l'onglet PARAMÈTRES)." errorStyle="stop" errorTitle="Valeur hors liste" operator="between" showDropDown="false" showErrorMessage="false" showInputMessage="false" sqref="K3:K322" type="list">
      <formula1>L_Ateliers</formula1>
      <formula2>0</formula2>
    </dataValidation>
    <dataValidation allowBlank="true" error="Choisissez une valeur de la liste (ou ajoutez-la d'abord dans l'onglet PARAMÈTRES)." errorStyle="stop" errorTitle="Valeur hors liste" operator="between" showDropDown="false" showErrorMessage="false" showInputMessage="false" sqref="N3:N322" type="list">
      <formula1>L_Cond</formula1>
      <formula2>0</formula2>
    </dataValidation>
    <dataValidation allowBlank="true" error="Choisissez une valeur de la liste (ou ajoutez-la d'abord dans l'onglet PARAMÈTRES)." errorStyle="stop" errorTitle="Valeur hors liste" operator="between" showDropDown="false" showErrorMessage="false" showInputMessage="false" sqref="P3:P322" type="list">
      <formula1>L_Unites</formula1>
      <formula2>0</formula2>
    </dataValidation>
    <dataValidation allowBlank="true" error="Choisissez une valeur de la liste (ou ajoutez-la d'abord dans l'onglet PARAMÈTRES)." errorStyle="stop" errorTitle="Valeur hors liste" operator="between" showDropDown="false" showErrorMessage="false" showInputMessage="false" sqref="T3:W322" type="list">
      <formula1>L_Pictos</formula1>
      <formula2>0</formula2>
    </dataValidation>
    <dataValidation allowBlank="true" error="Choisissez une valeur de la liste (ou ajoutez-la d'abord dans l'onglet PARAMÈTRES)." errorStyle="stop" errorTitle="Valeur hors liste" operator="between" showDropDown="false" showErrorMessage="false" showInputMessage="false" sqref="AA3:AA322" type="list">
      <formula1>L_Avert</formula1>
      <formula2>0</formula2>
    </dataValidation>
    <dataValidation allowBlank="true" error="Choisissez une valeur de la liste (ou ajoutez-la d'abord dans l'onglet PARAMÈTRES)." errorStyle="stop" errorTitle="Valeur hors liste" operator="between" showDropDown="false" showErrorMessage="false" showInputMessage="false" sqref="AB3:AB322" type="list">
      <formula1>L_OuiNon</formula1>
      <formula2>0</formula2>
    </dataValidation>
    <dataValidation allowBlank="true" error="Choisissez une valeur de la liste (ou ajoutez-la d'abord dans l'onglet PARAMÈTRES)." errorStyle="stop" errorTitle="Valeur hors liste" operator="between" showDropDown="false" showErrorMessage="false" showInputMessage="false" sqref="AC3:AC322" type="list">
      <formula1>L_CatCMR</formula1>
      <formula2>0</formula2>
    </dataValidation>
    <dataValidation allowBlank="true" error="Choisissez une valeur de la liste (ou ajoutez-la d'abord dans l'onglet PARAMÈTRES)." errorStyle="stop" errorTitle="Valeur hors liste" operator="between" showDropDown="false" showErrorMessage="false" showInputMessage="false" sqref="AD3:AD322" type="list">
      <formula1>L_OuiNon</formula1>
      <formula2>0</formula2>
    </dataValidation>
    <dataValidation allowBlank="true" error="Choisissez une valeur de la liste (ou ajoutez-la d'abord dans l'onglet PARAMÈTRES)." errorStyle="stop" errorTitle="Valeur hors liste" operator="between" showDropDown="false" showErrorMessage="false" showInputMessage="false" sqref="AG3:AG322" type="list">
      <formula1>L_OuiNon</formula1>
      <formula2>0</formula2>
    </dataValidation>
    <dataValidation allowBlank="true" error="Choisissez une valeur de la liste (ou ajoutez-la d'abord dans l'onglet PARAMÈTRES)." errorStyle="stop" errorTitle="Valeur hors liste" operator="between" showDropDown="false" showErrorMessage="false" showInputMessage="false" sqref="AI3:AI322" type="list">
      <formula1>L_Langues</formula1>
      <formula2>0</formula2>
    </dataValidation>
    <dataValidation allowBlank="true" error="Choisissez une valeur de la liste (ou ajoutez-la d'abord dans l'onglet PARAMÈTRES)." errorStyle="stop" errorTitle="Valeur hors liste" operator="between" showDropDown="false" showErrorMessage="false" showInputMessage="false" sqref="AP3:AP322" type="list">
      <formula1>L_Voies</formula1>
      <formula2>0</formula2>
    </dataValidation>
    <dataValidation allowBlank="true" error="Choisissez une valeur de la liste (ou ajoutez-la d'abord dans l'onglet PARAMÈTRES)." errorStyle="stop" errorTitle="Valeur hors liste" operator="between" showDropDown="false" showErrorMessage="false" showInputMessage="false" sqref="AQ3:AQ322" type="list">
      <formula1>L_Freq</formula1>
      <formula2>0</formula2>
    </dataValidation>
    <dataValidation allowBlank="true" error="Choisissez une valeur de la liste (ou ajoutez-la d'abord dans l'onglet PARAMÈTRES)." errorStyle="stop" errorTitle="Valeur hors liste" operator="between" showDropDown="false" showErrorMessage="false" showInputMessage="false" sqref="AR3:AR322" type="list">
      <formula1>L_EPI</formula1>
      <formula2>0</formula2>
    </dataValidation>
    <dataValidation allowBlank="true" error="Choisissez une valeur de la liste (ou ajoutez-la d'abord dans l'onglet PARAMÈTRES)." errorStyle="stop" errorTitle="Valeur hors liste" operator="between" showDropDown="false" showErrorMessage="false" showInputMessage="false" sqref="BG3:BG322" type="list">
      <formula1>L_StatAct</formula1>
      <formula2>0</formula2>
    </dataValidation>
    <dataValidation allowBlank="true" error="Saisissez un entier entre 1 et 5." errorStyle="stop" errorTitle="Cotation 1 à 5" operator="between" showDropDown="false" showErrorMessage="false" showInputMessage="false" sqref="AW3:AX322 AZ3:AZ322" type="whole">
      <formula1>1</formula1>
      <formula2>5</formula2>
    </dataValidation>
    <dataValidation allowBlank="true" error="Saisissez une valeur entre 0 % et 100 % (0 à 1)." errorStyle="stop" errorTitle="Pourcentage" operator="between" showDropDown="false" showErrorMessage="false" showInputMessage="false" sqref="BF3:BF322" type="decimal">
      <formula1>0</formula1>
      <formula2>1</formula2>
    </dataValidation>
  </dataValidations>
  <printOptions headings="false" gridLines="false" gridLinesSet="true" horizontalCentered="false" verticalCentered="false"/>
  <pageMargins left="0.75" right="0.75" top="1" bottom="1"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tableParts>
    <tablePart r:id="rId1"/>
  </tableParts>
  <extLst>
    <ext xmlns:x14="http://schemas.microsoft.com/office/spreadsheetml/2009/9/main" uri="{78C0D931-6437-407d-A8EE-F0AAD7539E65}">
      <x14:conditionalFormattings>
        <x14:conditionalFormatting xmlns:xm="http://schemas.microsoft.com/office/excel/2006/main">
          <x14:cfRule type="dataBar" id="{63DCE15A-246F-4A4D-AB74-C7A84D69B390}">
            <x14:dataBar minLength="10" maxLength="90" axisPosition="none" gradient="true">
              <x14:cfvo type="num">
                <xm:f>0</xm:f>
              </x14:cfvo>
              <x14:cfvo type="max"/>
              <x14:negativeFillColor rgb="FF2E8FCE"/>
              <x14:axisColor rgb="FF000000"/>
            </x14:dataBar>
          </x14:cfRule>
          <xm:sqref>O3:O322</xm:sqref>
        </x14:conditionalFormatting>
        <x14:conditionalFormatting xmlns:xm="http://schemas.microsoft.com/office/excel/2006/main">
          <x14:cfRule type="dataBar" id="{20AD15B2-814F-4947-8DFD-721968B29438}">
            <x14:dataBar minLength="10" maxLength="90" axisPosition="none" gradient="true">
              <x14:cfvo type="num">
                <xm:f>0</xm:f>
              </x14:cfvo>
              <x14:cfvo type="max"/>
              <x14:negativeFillColor rgb="FFFBB833"/>
              <x14:axisColor rgb="FF000000"/>
            </x14:dataBar>
          </x14:cfRule>
          <xm:sqref>Q3:Q322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K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26"/>
    <col collapsed="false" customWidth="true" hidden="false" outlineLevel="0" max="7" min="3" style="0" width="13"/>
    <col collapsed="false" customWidth="true" hidden="false" outlineLevel="0" max="11" min="8" style="0" width="15"/>
  </cols>
  <sheetData>
    <row r="1" customFormat="false" ht="25.5" hidden="false" customHeight="true" outlineLevel="0" collapsed="false">
      <c r="B1" s="58" t="s">
        <v>489</v>
      </c>
      <c r="C1" s="58"/>
      <c r="D1" s="58"/>
      <c r="E1" s="58"/>
      <c r="F1" s="58"/>
      <c r="G1" s="58"/>
      <c r="H1" s="58"/>
      <c r="I1" s="58"/>
      <c r="J1" s="58"/>
      <c r="K1" s="58"/>
    </row>
    <row r="2" customFormat="false" ht="15" hidden="false" customHeight="true" outlineLevel="0" collapsed="false">
      <c r="B2" s="5" t="s">
        <v>490</v>
      </c>
      <c r="C2" s="5"/>
      <c r="D2" s="5"/>
      <c r="E2" s="5"/>
      <c r="F2" s="5"/>
      <c r="G2" s="5"/>
      <c r="H2" s="5"/>
      <c r="I2" s="5"/>
      <c r="J2" s="5"/>
      <c r="K2" s="5"/>
    </row>
    <row r="4" customFormat="false" ht="15" hidden="false" customHeight="true" outlineLevel="0" collapsed="false">
      <c r="B4" s="59" t="s">
        <v>491</v>
      </c>
      <c r="C4" s="59"/>
      <c r="D4" s="59"/>
      <c r="E4" s="59"/>
      <c r="F4" s="59"/>
      <c r="G4" s="59"/>
    </row>
    <row r="5" customFormat="false" ht="15" hidden="false" customHeight="false" outlineLevel="0" collapsed="false">
      <c r="B5" s="60" t="s">
        <v>492</v>
      </c>
      <c r="C5" s="61" t="n">
        <v>1</v>
      </c>
      <c r="D5" s="61" t="n">
        <v>2</v>
      </c>
      <c r="E5" s="61" t="n">
        <v>3</v>
      </c>
      <c r="F5" s="61" t="n">
        <v>4</v>
      </c>
      <c r="G5" s="61" t="n">
        <v>5</v>
      </c>
    </row>
    <row r="6" customFormat="false" ht="21.75" hidden="false" customHeight="true" outlineLevel="0" collapsed="false">
      <c r="B6" s="61" t="n">
        <v>5</v>
      </c>
      <c r="C6" s="62" t="n">
        <v>5</v>
      </c>
      <c r="D6" s="63" t="n">
        <v>10</v>
      </c>
      <c r="E6" s="64" t="n">
        <v>15</v>
      </c>
      <c r="F6" s="64" t="n">
        <v>20</v>
      </c>
      <c r="G6" s="64" t="n">
        <v>25</v>
      </c>
    </row>
    <row r="7" customFormat="false" ht="21.75" hidden="false" customHeight="true" outlineLevel="0" collapsed="false">
      <c r="B7" s="61" t="n">
        <v>4</v>
      </c>
      <c r="C7" s="62" t="n">
        <v>4</v>
      </c>
      <c r="D7" s="63" t="n">
        <v>8</v>
      </c>
      <c r="E7" s="63" t="n">
        <v>12</v>
      </c>
      <c r="F7" s="64" t="n">
        <v>16</v>
      </c>
      <c r="G7" s="64" t="n">
        <v>20</v>
      </c>
    </row>
    <row r="8" customFormat="false" ht="21.75" hidden="false" customHeight="true" outlineLevel="0" collapsed="false">
      <c r="B8" s="61" t="n">
        <v>3</v>
      </c>
      <c r="C8" s="65" t="n">
        <v>3</v>
      </c>
      <c r="D8" s="62" t="n">
        <v>6</v>
      </c>
      <c r="E8" s="63" t="n">
        <v>9</v>
      </c>
      <c r="F8" s="63" t="n">
        <v>12</v>
      </c>
      <c r="G8" s="64" t="n">
        <v>15</v>
      </c>
    </row>
    <row r="9" customFormat="false" ht="21.75" hidden="false" customHeight="true" outlineLevel="0" collapsed="false">
      <c r="B9" s="61" t="n">
        <v>2</v>
      </c>
      <c r="C9" s="65" t="n">
        <v>2</v>
      </c>
      <c r="D9" s="62" t="n">
        <v>4</v>
      </c>
      <c r="E9" s="62" t="n">
        <v>6</v>
      </c>
      <c r="F9" s="63" t="n">
        <v>8</v>
      </c>
      <c r="G9" s="63" t="n">
        <v>10</v>
      </c>
    </row>
    <row r="10" customFormat="false" ht="21.75" hidden="false" customHeight="true" outlineLevel="0" collapsed="false">
      <c r="B10" s="61" t="n">
        <v>1</v>
      </c>
      <c r="C10" s="65" t="n">
        <v>1</v>
      </c>
      <c r="D10" s="65" t="n">
        <v>2</v>
      </c>
      <c r="E10" s="65" t="n">
        <v>3</v>
      </c>
      <c r="F10" s="62" t="n">
        <v>4</v>
      </c>
      <c r="G10" s="62" t="n">
        <v>5</v>
      </c>
    </row>
    <row r="12" customFormat="false" ht="15" hidden="false" customHeight="true" outlineLevel="0" collapsed="false">
      <c r="B12" s="59" t="s">
        <v>493</v>
      </c>
      <c r="C12" s="59"/>
      <c r="D12" s="59"/>
      <c r="E12" s="59"/>
      <c r="F12" s="59"/>
      <c r="G12" s="59"/>
    </row>
    <row r="13" customFormat="false" ht="15" hidden="false" customHeight="false" outlineLevel="0" collapsed="false">
      <c r="B13" s="60" t="s">
        <v>492</v>
      </c>
      <c r="C13" s="61" t="n">
        <v>1</v>
      </c>
      <c r="D13" s="61" t="n">
        <v>2</v>
      </c>
      <c r="E13" s="61" t="n">
        <v>3</v>
      </c>
      <c r="F13" s="61" t="n">
        <v>4</v>
      </c>
      <c r="G13" s="61" t="n">
        <v>5</v>
      </c>
    </row>
    <row r="14" customFormat="false" ht="21.75" hidden="false" customHeight="true" outlineLevel="0" collapsed="false">
      <c r="B14" s="61" t="n">
        <v>5</v>
      </c>
      <c r="C14" s="62" t="n">
        <f aca="false">COUNTIFS(Inv_Grav,5,Inv_Prob,1)</f>
        <v>0</v>
      </c>
      <c r="D14" s="63" t="n">
        <f aca="false">COUNTIFS(Inv_Grav,5,Inv_Prob,2)</f>
        <v>1</v>
      </c>
      <c r="E14" s="64" t="n">
        <f aca="false">COUNTIFS(Inv_Grav,5,Inv_Prob,3)</f>
        <v>1</v>
      </c>
      <c r="F14" s="64" t="n">
        <f aca="false">COUNTIFS(Inv_Grav,5,Inv_Prob,4)</f>
        <v>0</v>
      </c>
      <c r="G14" s="64" t="n">
        <f aca="false">COUNTIFS(Inv_Grav,5,Inv_Prob,5)</f>
        <v>0</v>
      </c>
    </row>
    <row r="15" customFormat="false" ht="21.75" hidden="false" customHeight="true" outlineLevel="0" collapsed="false">
      <c r="B15" s="61" t="n">
        <v>4</v>
      </c>
      <c r="C15" s="62" t="n">
        <f aca="false">COUNTIFS(Inv_Grav,4,Inv_Prob,1)</f>
        <v>0</v>
      </c>
      <c r="D15" s="63" t="n">
        <f aca="false">COUNTIFS(Inv_Grav,4,Inv_Prob,2)</f>
        <v>2</v>
      </c>
      <c r="E15" s="63" t="n">
        <f aca="false">COUNTIFS(Inv_Grav,4,Inv_Prob,3)</f>
        <v>1</v>
      </c>
      <c r="F15" s="64" t="n">
        <f aca="false">COUNTIFS(Inv_Grav,4,Inv_Prob,4)</f>
        <v>0</v>
      </c>
      <c r="G15" s="64" t="n">
        <f aca="false">COUNTIFS(Inv_Grav,4,Inv_Prob,5)</f>
        <v>0</v>
      </c>
    </row>
    <row r="16" customFormat="false" ht="21.75" hidden="false" customHeight="true" outlineLevel="0" collapsed="false">
      <c r="B16" s="61" t="n">
        <v>3</v>
      </c>
      <c r="C16" s="65" t="n">
        <f aca="false">COUNTIFS(Inv_Grav,3,Inv_Prob,1)</f>
        <v>0</v>
      </c>
      <c r="D16" s="62" t="n">
        <f aca="false">COUNTIFS(Inv_Grav,3,Inv_Prob,2)</f>
        <v>4</v>
      </c>
      <c r="E16" s="63" t="n">
        <f aca="false">COUNTIFS(Inv_Grav,3,Inv_Prob,3)</f>
        <v>4</v>
      </c>
      <c r="F16" s="63" t="n">
        <f aca="false">COUNTIFS(Inv_Grav,3,Inv_Prob,4)</f>
        <v>0</v>
      </c>
      <c r="G16" s="64" t="n">
        <f aca="false">COUNTIFS(Inv_Grav,3,Inv_Prob,5)</f>
        <v>0</v>
      </c>
    </row>
    <row r="17" customFormat="false" ht="21.75" hidden="false" customHeight="true" outlineLevel="0" collapsed="false">
      <c r="B17" s="61" t="n">
        <v>2</v>
      </c>
      <c r="C17" s="65" t="n">
        <f aca="false">COUNTIFS(Inv_Grav,2,Inv_Prob,1)</f>
        <v>0</v>
      </c>
      <c r="D17" s="62" t="n">
        <f aca="false">COUNTIFS(Inv_Grav,2,Inv_Prob,2)</f>
        <v>1</v>
      </c>
      <c r="E17" s="62" t="n">
        <f aca="false">COUNTIFS(Inv_Grav,2,Inv_Prob,3)</f>
        <v>3</v>
      </c>
      <c r="F17" s="63" t="n">
        <f aca="false">COUNTIFS(Inv_Grav,2,Inv_Prob,4)</f>
        <v>1</v>
      </c>
      <c r="G17" s="63" t="n">
        <f aca="false">COUNTIFS(Inv_Grav,2,Inv_Prob,5)</f>
        <v>0</v>
      </c>
    </row>
    <row r="18" customFormat="false" ht="21.75" hidden="false" customHeight="true" outlineLevel="0" collapsed="false">
      <c r="B18" s="61" t="n">
        <v>1</v>
      </c>
      <c r="C18" s="65" t="n">
        <f aca="false">COUNTIFS(Inv_Grav,1,Inv_Prob,1)</f>
        <v>0</v>
      </c>
      <c r="D18" s="65" t="n">
        <f aca="false">COUNTIFS(Inv_Grav,1,Inv_Prob,2)</f>
        <v>1</v>
      </c>
      <c r="E18" s="65" t="n">
        <f aca="false">COUNTIFS(Inv_Grav,1,Inv_Prob,3)</f>
        <v>1</v>
      </c>
      <c r="F18" s="62" t="n">
        <f aca="false">COUNTIFS(Inv_Grav,1,Inv_Prob,4)</f>
        <v>0</v>
      </c>
      <c r="G18" s="62" t="n">
        <f aca="false">COUNTIFS(Inv_Grav,1,Inv_Prob,5)</f>
        <v>0</v>
      </c>
    </row>
    <row r="20" customFormat="false" ht="15" hidden="false" customHeight="false" outlineLevel="0" collapsed="false">
      <c r="B20" s="66" t="s">
        <v>494</v>
      </c>
      <c r="C20" s="66"/>
      <c r="D20" s="66"/>
      <c r="E20" s="66"/>
      <c r="G20" s="66" t="s">
        <v>495</v>
      </c>
      <c r="H20" s="66"/>
      <c r="I20" s="66"/>
      <c r="J20" s="66"/>
      <c r="K20" s="66"/>
    </row>
    <row r="21" customFormat="false" ht="15" hidden="false" customHeight="true" outlineLevel="0" collapsed="false">
      <c r="B21" s="67" t="s">
        <v>496</v>
      </c>
      <c r="C21" s="67"/>
      <c r="D21" s="67"/>
      <c r="E21" s="67"/>
      <c r="G21" s="67" t="s">
        <v>497</v>
      </c>
      <c r="H21" s="67"/>
      <c r="I21" s="67"/>
      <c r="J21" s="67"/>
      <c r="K21" s="67"/>
    </row>
    <row r="22" customFormat="false" ht="15" hidden="false" customHeight="true" outlineLevel="0" collapsed="false">
      <c r="B22" s="67" t="s">
        <v>498</v>
      </c>
      <c r="C22" s="67"/>
      <c r="D22" s="67"/>
      <c r="E22" s="67"/>
      <c r="G22" s="67" t="s">
        <v>499</v>
      </c>
      <c r="H22" s="67"/>
      <c r="I22" s="67"/>
      <c r="J22" s="67"/>
      <c r="K22" s="67"/>
    </row>
    <row r="23" customFormat="false" ht="15" hidden="false" customHeight="true" outlineLevel="0" collapsed="false">
      <c r="B23" s="67" t="s">
        <v>500</v>
      </c>
      <c r="C23" s="67"/>
      <c r="D23" s="67"/>
      <c r="E23" s="67"/>
      <c r="G23" s="67" t="s">
        <v>501</v>
      </c>
      <c r="H23" s="67"/>
      <c r="I23" s="67"/>
      <c r="J23" s="67"/>
      <c r="K23" s="67"/>
    </row>
    <row r="24" customFormat="false" ht="15" hidden="false" customHeight="true" outlineLevel="0" collapsed="false">
      <c r="B24" s="67" t="s">
        <v>502</v>
      </c>
      <c r="C24" s="67"/>
      <c r="D24" s="67"/>
      <c r="E24" s="67"/>
      <c r="G24" s="67" t="s">
        <v>503</v>
      </c>
      <c r="H24" s="67"/>
      <c r="I24" s="67"/>
      <c r="J24" s="67"/>
      <c r="K24" s="67"/>
    </row>
    <row r="25" customFormat="false" ht="15" hidden="false" customHeight="true" outlineLevel="0" collapsed="false">
      <c r="B25" s="67" t="s">
        <v>504</v>
      </c>
      <c r="C25" s="67"/>
      <c r="D25" s="67"/>
      <c r="E25" s="67"/>
      <c r="G25" s="67" t="s">
        <v>505</v>
      </c>
      <c r="H25" s="67"/>
      <c r="I25" s="67"/>
      <c r="J25" s="67"/>
      <c r="K25" s="67"/>
    </row>
    <row r="27" customFormat="false" ht="15" hidden="false" customHeight="false" outlineLevel="0" collapsed="false">
      <c r="B27" s="68" t="s">
        <v>506</v>
      </c>
    </row>
    <row r="28" customFormat="false" ht="15" hidden="false" customHeight="true" outlineLevel="0" collapsed="false">
      <c r="B28" s="69" t="s">
        <v>507</v>
      </c>
      <c r="C28" s="70" t="s">
        <v>508</v>
      </c>
      <c r="D28" s="70"/>
      <c r="E28" s="70"/>
      <c r="F28" s="70"/>
      <c r="G28" s="70"/>
      <c r="H28" s="70"/>
      <c r="I28" s="70"/>
      <c r="J28" s="70"/>
      <c r="K28" s="70"/>
    </row>
    <row r="29" customFormat="false" ht="15" hidden="false" customHeight="true" outlineLevel="0" collapsed="false">
      <c r="B29" s="71" t="s">
        <v>509</v>
      </c>
      <c r="C29" s="72" t="s">
        <v>510</v>
      </c>
      <c r="D29" s="72"/>
      <c r="E29" s="72"/>
      <c r="F29" s="72"/>
      <c r="G29" s="72"/>
      <c r="H29" s="72"/>
      <c r="I29" s="72"/>
      <c r="J29" s="72"/>
      <c r="K29" s="72"/>
    </row>
    <row r="30" customFormat="false" ht="15" hidden="false" customHeight="true" outlineLevel="0" collapsed="false">
      <c r="B30" s="73" t="s">
        <v>511</v>
      </c>
      <c r="C30" s="74" t="s">
        <v>512</v>
      </c>
      <c r="D30" s="74"/>
      <c r="E30" s="74"/>
      <c r="F30" s="74"/>
      <c r="G30" s="74"/>
      <c r="H30" s="74"/>
      <c r="I30" s="74"/>
      <c r="J30" s="74"/>
      <c r="K30" s="74"/>
    </row>
    <row r="31" customFormat="false" ht="15" hidden="false" customHeight="true" outlineLevel="0" collapsed="false">
      <c r="B31" s="75" t="s">
        <v>513</v>
      </c>
      <c r="C31" s="76" t="s">
        <v>514</v>
      </c>
      <c r="D31" s="76"/>
      <c r="E31" s="76"/>
      <c r="F31" s="76"/>
      <c r="G31" s="76"/>
      <c r="H31" s="76"/>
      <c r="I31" s="76"/>
      <c r="J31" s="76"/>
      <c r="K31" s="76"/>
    </row>
  </sheetData>
  <sheetProtection sheet="true" password="df18" formatCells="false" formatColumns="false" formatRows="false" insertRows="false" deleteRows="false" sort="false" autoFilter="false"/>
  <mergeCells count="20">
    <mergeCell ref="B1:K1"/>
    <mergeCell ref="B2:K2"/>
    <mergeCell ref="B4:G4"/>
    <mergeCell ref="B12:G12"/>
    <mergeCell ref="B20:E20"/>
    <mergeCell ref="G20:K20"/>
    <mergeCell ref="B21:E21"/>
    <mergeCell ref="G21:K21"/>
    <mergeCell ref="B22:E22"/>
    <mergeCell ref="G22:K22"/>
    <mergeCell ref="B23:E23"/>
    <mergeCell ref="G23:K23"/>
    <mergeCell ref="B24:E24"/>
    <mergeCell ref="G24:K24"/>
    <mergeCell ref="B25:E25"/>
    <mergeCell ref="G25:K25"/>
    <mergeCell ref="C28:K28"/>
    <mergeCell ref="C29:K29"/>
    <mergeCell ref="C30:K30"/>
    <mergeCell ref="C31:K31"/>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L6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28"/>
    <col collapsed="false" customWidth="true" hidden="false" outlineLevel="0" max="3" min="3" style="0" width="42"/>
    <col collapsed="false" customWidth="true" hidden="false" outlineLevel="0" max="4" min="4" style="0" width="14"/>
    <col collapsed="false" customWidth="true" hidden="false" outlineLevel="0" max="5" min="5" style="0" width="11"/>
    <col collapsed="false" customWidth="true" hidden="false" outlineLevel="0" max="6" min="6" style="0" width="16"/>
    <col collapsed="false" customWidth="true" hidden="false" outlineLevel="0" max="9" min="7" style="0" width="12"/>
    <col collapsed="false" customWidth="true" hidden="false" outlineLevel="0" max="10" min="10" style="0" width="10"/>
    <col collapsed="false" customWidth="true" hidden="true" outlineLevel="0" max="12" min="12" style="0" width="13"/>
  </cols>
  <sheetData>
    <row r="1" customFormat="false" ht="25.5" hidden="false" customHeight="true" outlineLevel="0" collapsed="false">
      <c r="A1" s="58" t="s">
        <v>515</v>
      </c>
      <c r="B1" s="58"/>
      <c r="C1" s="58"/>
      <c r="D1" s="58"/>
      <c r="E1" s="58"/>
      <c r="F1" s="58"/>
      <c r="G1" s="58"/>
      <c r="H1" s="58"/>
      <c r="I1" s="58"/>
      <c r="J1" s="58"/>
    </row>
    <row r="2" customFormat="false" ht="15" hidden="false" customHeight="false" outlineLevel="0" collapsed="false">
      <c r="A2" s="5" t="str">
        <f aca="false">"Extraction automatique des actions correctives saisies dans l'INVENTAIRE — Total : "&amp;COUNTIFS(Inv_Nom,"&lt;&gt;",Inv_Action,"&lt;&gt;")&amp;" action(s)"</f>
        <v>Extraction automatique des actions correctives saisies dans l'INVENTAIRE — Total : 6 action(s)</v>
      </c>
      <c r="B2" s="5"/>
      <c r="C2" s="5"/>
      <c r="D2" s="5"/>
      <c r="E2" s="5"/>
      <c r="F2" s="5"/>
      <c r="G2" s="5"/>
      <c r="H2" s="5"/>
      <c r="I2" s="5"/>
      <c r="J2" s="5"/>
    </row>
    <row r="3" customFormat="false" ht="15" hidden="false" customHeight="false" outlineLevel="0" collapsed="false">
      <c r="B3" s="77" t="s">
        <v>516</v>
      </c>
      <c r="C3" s="77"/>
      <c r="D3" s="78" t="n">
        <f aca="true">SUMPRODUCT((Inv_Action&lt;&gt;"")*(Inv_StatAct&lt;&gt;"Clôturée")*(Inv_Ech&lt;&gt;"")*(Inv_Ech&lt;TODAY()))</f>
        <v>1</v>
      </c>
      <c r="E3" s="77" t="s">
        <v>517</v>
      </c>
      <c r="F3" s="77"/>
      <c r="G3" s="79" t="n">
        <f aca="true">SUMPRODUCT((Inv_Action&lt;&gt;"")*(Inv_StatAct&lt;&gt;"Clôturée")*(Inv_Ech&lt;&gt;"")*(MONTH(Inv_Ech)=MONTH(TODAY()))*(YEAR(Inv_Ech)=YEAR(TODAY())))</f>
        <v>1</v>
      </c>
      <c r="H3" s="77" t="s">
        <v>518</v>
      </c>
      <c r="I3" s="77"/>
      <c r="J3" s="80" t="n">
        <f aca="false">COUNTIFS(Inv_Action,"&lt;&gt;",Inv_StatAct,"Clôturée")</f>
        <v>1</v>
      </c>
    </row>
    <row r="4" customFormat="false" ht="15" hidden="false" customHeight="true" outlineLevel="0" collapsed="false">
      <c r="A4" s="81" t="s">
        <v>519</v>
      </c>
      <c r="B4" s="81"/>
      <c r="C4" s="81"/>
      <c r="D4" s="81"/>
      <c r="E4" s="81"/>
      <c r="F4" s="81"/>
      <c r="G4" s="81"/>
      <c r="H4" s="81"/>
      <c r="I4" s="81"/>
      <c r="J4" s="81"/>
    </row>
    <row r="5" customFormat="false" ht="24" hidden="false" customHeight="true" outlineLevel="0" collapsed="false">
      <c r="A5" s="82" t="s">
        <v>112</v>
      </c>
      <c r="B5" s="82" t="s">
        <v>520</v>
      </c>
      <c r="C5" s="82" t="s">
        <v>166</v>
      </c>
      <c r="D5" s="82" t="s">
        <v>521</v>
      </c>
      <c r="E5" s="82" t="s">
        <v>522</v>
      </c>
      <c r="F5" s="82" t="s">
        <v>167</v>
      </c>
      <c r="G5" s="82" t="s">
        <v>168</v>
      </c>
      <c r="H5" s="82" t="s">
        <v>523</v>
      </c>
      <c r="I5" s="82" t="s">
        <v>524</v>
      </c>
      <c r="J5" s="82" t="s">
        <v>525</v>
      </c>
    </row>
    <row r="6" customFormat="false" ht="15" hidden="false" customHeight="false" outlineLevel="0" collapsed="false">
      <c r="A6" s="83" t="str">
        <f aca="false">IF($L6="","",INDEX(Inv_Num,$L6))</f>
        <v>PC-005</v>
      </c>
      <c r="B6" s="67" t="str">
        <f aca="false">IF($L6="","",INDEX(Inv_Nom,$L6))</f>
        <v>Eau de Javel 9,6 %</v>
      </c>
      <c r="C6" s="67" t="str">
        <f aca="false">IF($L6="","",T(INDEX(Inv_Action,$L6)))</f>
        <v>Mettre à jour l'affichage des incompatibilités (acides)</v>
      </c>
      <c r="D6" s="83" t="str">
        <f aca="false">IF($L6="","",INDEX(Inv_Prio,$L6))</f>
        <v>P4 – Faible</v>
      </c>
      <c r="E6" s="84" t="n">
        <f aca="false">IF($L6="","",INDEX(Inv_Res,$L6))</f>
        <v>2</v>
      </c>
      <c r="F6" s="67" t="str">
        <f aca="false">IF($L6="","",T(INDEX(Inv_Pilote,$L6)))</f>
        <v>Resp. HSE</v>
      </c>
      <c r="G6" s="85" t="n">
        <f aca="false">IF($L6="","",IF(INDEX(Inv_Ech,$L6)=0,"—",INDEX(Inv_Ech,$L6)))</f>
        <v>46096</v>
      </c>
      <c r="H6" s="86" t="n">
        <f aca="false">IF($L6="","",INDEX(Inv_Avc,$L6))</f>
        <v>1</v>
      </c>
      <c r="I6" s="83" t="str">
        <f aca="false">IF($L6="","",T(INDEX(Inv_StatAct,$L6)))</f>
        <v>Clôturée</v>
      </c>
      <c r="J6" s="87" t="str">
        <f aca="true">IF($L6="","",IF(OR(G6="—",I6="Clôturée"),"—",IF(G6&lt;TODAY(),TODAY()-G6,0)))</f>
        <v>—</v>
      </c>
      <c r="L6" s="88" t="n">
        <f aca="false">IFERROR(SMALL(CleAct,1)-2,"")</f>
        <v>5</v>
      </c>
    </row>
    <row r="7" customFormat="false" ht="15" hidden="false" customHeight="false" outlineLevel="0" collapsed="false">
      <c r="A7" s="83" t="str">
        <f aca="false">IF($L7="","",INDEX(Inv_Num,$L7))</f>
        <v>PC-008</v>
      </c>
      <c r="B7" s="67" t="str">
        <f aca="false">IF($L7="","",INDEX(Inv_Nom,$L7))</f>
        <v>Acide sulfurique 96 %</v>
      </c>
      <c r="C7" s="67" t="str">
        <f aca="false">IF($L7="","",T(INDEX(Inv_Action,$L7)))</f>
        <v>Renouveler la FDS et vérifier la rétention</v>
      </c>
      <c r="D7" s="83" t="str">
        <f aca="false">IF($L7="","",INDEX(Inv_Prio,$L7))</f>
        <v>P3 – Modérée</v>
      </c>
      <c r="E7" s="84" t="n">
        <f aca="false">IF($L7="","",INDEX(Inv_Res,$L7))</f>
        <v>5</v>
      </c>
      <c r="F7" s="67" t="str">
        <f aca="false">IF($L7="","",T(INDEX(Inv_Pilote,$L7)))</f>
        <v>Resp. HSE</v>
      </c>
      <c r="G7" s="85" t="n">
        <f aca="false">IF($L7="","",IF(INDEX(Inv_Ech,$L7)=0,"—",INDEX(Inv_Ech,$L7)))</f>
        <v>46249</v>
      </c>
      <c r="H7" s="86" t="n">
        <f aca="false">IF($L7="","",INDEX(Inv_Avc,$L7))</f>
        <v>0.5</v>
      </c>
      <c r="I7" s="83" t="str">
        <f aca="false">IF($L7="","",T(INDEX(Inv_StatAct,$L7)))</f>
        <v>En cours</v>
      </c>
      <c r="J7" s="87" t="n">
        <f aca="true">IF($L7="","",IF(OR(G7="—",I7="Clôturée"),"—",IF(G7&lt;TODAY(),TODAY()-G7,0)))</f>
        <v>0</v>
      </c>
      <c r="L7" s="88" t="n">
        <f aca="false">IFERROR(SMALL(CleAct,2)-2,"")</f>
        <v>8</v>
      </c>
    </row>
    <row r="8" customFormat="false" ht="15" hidden="false" customHeight="false" outlineLevel="0" collapsed="false">
      <c r="A8" s="83" t="str">
        <f aca="false">IF($L8="","",INDEX(Inv_Num,$L8))</f>
        <v>PC-010</v>
      </c>
      <c r="B8" s="67" t="str">
        <f aca="false">IF($L8="","",INDEX(Inv_Nom,$L8))</f>
        <v>Dégraissant solvanté DS-40</v>
      </c>
      <c r="C8" s="67" t="str">
        <f aca="false">IF($L8="","",T(INDEX(Inv_Action,$L8)))</f>
        <v>Exiger la FDS auprès du fournisseur</v>
      </c>
      <c r="D8" s="83" t="str">
        <f aca="false">IF($L8="","",INDEX(Inv_Prio,$L8))</f>
        <v>P2 – Élevée</v>
      </c>
      <c r="E8" s="84" t="n">
        <f aca="false">IF($L8="","",INDEX(Inv_Res,$L8))</f>
        <v>9</v>
      </c>
      <c r="F8" s="67" t="str">
        <f aca="false">IF($L8="","",T(INDEX(Inv_Pilote,$L8)))</f>
        <v>Magasinier</v>
      </c>
      <c r="G8" s="85" t="n">
        <f aca="false">IF($L8="","",IF(INDEX(Inv_Ech,$L8)=0,"—",INDEX(Inv_Ech,$L8)))</f>
        <v>46234</v>
      </c>
      <c r="H8" s="86" t="n">
        <f aca="false">IF($L8="","",INDEX(Inv_Avc,$L8))</f>
        <v>0</v>
      </c>
      <c r="I8" s="83" t="str">
        <f aca="false">IF($L8="","",T(INDEX(Inv_StatAct,$L8)))</f>
        <v>À lancer</v>
      </c>
      <c r="J8" s="87" t="n">
        <f aca="true">IF($L8="","",IF(OR(G8="—",I8="Clôturée"),"—",IF(G8&lt;TODAY(),TODAY()-G8,0)))</f>
        <v>0</v>
      </c>
      <c r="L8" s="88" t="n">
        <f aca="false">IFERROR(SMALL(CleAct,3)-2,"")</f>
        <v>10</v>
      </c>
    </row>
    <row r="9" customFormat="false" ht="15" hidden="false" customHeight="false" outlineLevel="0" collapsed="false">
      <c r="A9" s="83" t="str">
        <f aca="false">IF($L9="","",INDEX(Inv_Num,$L9))</f>
        <v>PC-014</v>
      </c>
      <c r="B9" s="67" t="str">
        <f aca="false">IF($L9="","",INDEX(Inv_Nom,$L9))</f>
        <v>Peinture antirouille solvantée</v>
      </c>
      <c r="C9" s="67" t="str">
        <f aca="false">IF($L9="","",T(INDEX(Inv_Action,$L9)))</f>
        <v>Relancer le fournisseur pour la FDS à jour</v>
      </c>
      <c r="D9" s="83" t="str">
        <f aca="false">IF($L9="","",INDEX(Inv_Prio,$L9))</f>
        <v>P4 – Faible</v>
      </c>
      <c r="E9" s="84" t="n">
        <f aca="false">IF($L9="","",INDEX(Inv_Res,$L9))</f>
        <v>2</v>
      </c>
      <c r="F9" s="67" t="str">
        <f aca="false">IF($L9="","",T(INDEX(Inv_Pilote,$L9)))</f>
        <v>Magasinier</v>
      </c>
      <c r="G9" s="85" t="n">
        <f aca="false">IF($L9="","",IF(INDEX(Inv_Ech,$L9)=0,"—",INDEX(Inv_Ech,$L9)))</f>
        <v>46203</v>
      </c>
      <c r="H9" s="86" t="n">
        <f aca="false">IF($L9="","",INDEX(Inv_Avc,$L9))</f>
        <v>0.3</v>
      </c>
      <c r="I9" s="83" t="str">
        <f aca="false">IF($L9="","",T(INDEX(Inv_StatAct,$L9)))</f>
        <v>En cours</v>
      </c>
      <c r="J9" s="87" t="n">
        <f aca="true">IF($L9="","",IF(OR(G9="—",I9="Clôturée"),"—",IF(G9&lt;TODAY(),TODAY()-G9,0)))</f>
        <v>21</v>
      </c>
      <c r="L9" s="88" t="n">
        <f aca="false">IFERROR(SMALL(CleAct,4)-2,"")</f>
        <v>14</v>
      </c>
    </row>
    <row r="10" customFormat="false" ht="15" hidden="false" customHeight="false" outlineLevel="0" collapsed="false">
      <c r="A10" s="83" t="str">
        <f aca="false">IF($L10="","",INDEX(Inv_Num,$L10))</f>
        <v>PC-018</v>
      </c>
      <c r="B10" s="67" t="str">
        <f aca="false">IF($L10="","",INDEX(Inv_Nom,$L10))</f>
        <v>Colle contact néoprène</v>
      </c>
      <c r="C10" s="67" t="str">
        <f aca="false">IF($L10="","",T(INDEX(Inv_Action,$L10)))</f>
        <v>Bloquer le réappro tant que la FDS n'est pas reçue</v>
      </c>
      <c r="D10" s="83" t="str">
        <f aca="false">IF($L10="","",INDEX(Inv_Prio,$L10))</f>
        <v>P3 – Modérée</v>
      </c>
      <c r="E10" s="84" t="n">
        <f aca="false">IF($L10="","",INDEX(Inv_Res,$L10))</f>
        <v>6</v>
      </c>
      <c r="F10" s="67" t="str">
        <f aca="false">IF($L10="","",T(INDEX(Inv_Pilote,$L10)))</f>
        <v>Magasinier</v>
      </c>
      <c r="G10" s="85" t="n">
        <f aca="false">IF($L10="","",IF(INDEX(Inv_Ech,$L10)=0,"—",INDEX(Inv_Ech,$L10)))</f>
        <v>46249</v>
      </c>
      <c r="H10" s="86" t="n">
        <f aca="false">IF($L10="","",INDEX(Inv_Avc,$L10))</f>
        <v>0</v>
      </c>
      <c r="I10" s="83" t="str">
        <f aca="false">IF($L10="","",T(INDEX(Inv_StatAct,$L10)))</f>
        <v>À lancer</v>
      </c>
      <c r="J10" s="87" t="n">
        <f aca="true">IF($L10="","",IF(OR(G10="—",I10="Clôturée"),"—",IF(G10&lt;TODAY(),TODAY()-G10,0)))</f>
        <v>0</v>
      </c>
      <c r="L10" s="88" t="n">
        <f aca="false">IFERROR(SMALL(CleAct,5)-2,"")</f>
        <v>18</v>
      </c>
    </row>
    <row r="11" customFormat="false" ht="15" hidden="false" customHeight="false" outlineLevel="0" collapsed="false">
      <c r="A11" s="83" t="str">
        <f aca="false">IF($L11="","",INDEX(Inv_Num,$L11))</f>
        <v>PC-019</v>
      </c>
      <c r="B11" s="67" t="str">
        <f aca="false">IF($L11="","",INDEX(Inv_Nom,$L11))</f>
        <v>Trichloroéthylène</v>
      </c>
      <c r="C11" s="67" t="str">
        <f aca="false">IF($L11="","",T(INDEX(Inv_Action,$L11)))</f>
        <v>Plan de substitution (REACH annexe XIV)</v>
      </c>
      <c r="D11" s="83" t="str">
        <f aca="false">IF($L11="","",INDEX(Inv_Prio,$L11))</f>
        <v>P3 – Modérée</v>
      </c>
      <c r="E11" s="84" t="n">
        <f aca="false">IF($L11="","",INDEX(Inv_Res,$L11))</f>
        <v>5</v>
      </c>
      <c r="F11" s="67" t="str">
        <f aca="false">IF($L11="","",T(INDEX(Inv_Pilote,$L11)))</f>
        <v>Resp. HSE</v>
      </c>
      <c r="G11" s="85" t="n">
        <f aca="false">IF($L11="","",IF(INDEX(Inv_Ech,$L11)=0,"—",INDEX(Inv_Ech,$L11)))</f>
        <v>46387</v>
      </c>
      <c r="H11" s="86" t="n">
        <f aca="false">IF($L11="","",INDEX(Inv_Avc,$L11))</f>
        <v>0.2</v>
      </c>
      <c r="I11" s="83" t="str">
        <f aca="false">IF($L11="","",T(INDEX(Inv_StatAct,$L11)))</f>
        <v>En cours</v>
      </c>
      <c r="J11" s="87" t="n">
        <f aca="true">IF($L11="","",IF(OR(G11="—",I11="Clôturée"),"—",IF(G11&lt;TODAY(),TODAY()-G11,0)))</f>
        <v>0</v>
      </c>
      <c r="L11" s="88" t="n">
        <f aca="false">IFERROR(SMALL(CleAct,6)-2,"")</f>
        <v>19</v>
      </c>
    </row>
    <row r="12" customFormat="false" ht="15" hidden="false" customHeight="false" outlineLevel="0" collapsed="false">
      <c r="A12" s="83" t="str">
        <f aca="false">IF($L12="","",INDEX(Inv_Num,$L12))</f>
        <v/>
      </c>
      <c r="B12" s="67" t="str">
        <f aca="false">IF($L12="","",INDEX(Inv_Nom,$L12))</f>
        <v/>
      </c>
      <c r="C12" s="67" t="str">
        <f aca="false">IF($L12="","",T(INDEX(Inv_Action,$L12)))</f>
        <v/>
      </c>
      <c r="D12" s="83" t="str">
        <f aca="false">IF($L12="","",INDEX(Inv_Prio,$L12))</f>
        <v/>
      </c>
      <c r="E12" s="84" t="str">
        <f aca="false">IF($L12="","",INDEX(Inv_Res,$L12))</f>
        <v/>
      </c>
      <c r="F12" s="67" t="str">
        <f aca="false">IF($L12="","",T(INDEX(Inv_Pilote,$L12)))</f>
        <v/>
      </c>
      <c r="G12" s="85" t="str">
        <f aca="false">IF($L12="","",IF(INDEX(Inv_Ech,$L12)=0,"—",INDEX(Inv_Ech,$L12)))</f>
        <v/>
      </c>
      <c r="H12" s="86" t="str">
        <f aca="false">IF($L12="","",INDEX(Inv_Avc,$L12))</f>
        <v/>
      </c>
      <c r="I12" s="83" t="str">
        <f aca="false">IF($L12="","",T(INDEX(Inv_StatAct,$L12)))</f>
        <v/>
      </c>
      <c r="J12" s="87" t="str">
        <f aca="true">IF($L12="","",IF(OR(G12="—",I12="Clôturée"),"—",IF(G12&lt;TODAY(),TODAY()-G12,0)))</f>
        <v/>
      </c>
      <c r="L12" s="0" t="str">
        <f aca="false">IFERROR(SMALL(CleAct,7)-2,"")</f>
        <v/>
      </c>
    </row>
    <row r="13" customFormat="false" ht="15" hidden="false" customHeight="false" outlineLevel="0" collapsed="false">
      <c r="A13" s="83" t="str">
        <f aca="false">IF($L13="","",INDEX(Inv_Num,$L13))</f>
        <v/>
      </c>
      <c r="B13" s="67" t="str">
        <f aca="false">IF($L13="","",INDEX(Inv_Nom,$L13))</f>
        <v/>
      </c>
      <c r="C13" s="67" t="str">
        <f aca="false">IF($L13="","",T(INDEX(Inv_Action,$L13)))</f>
        <v/>
      </c>
      <c r="D13" s="83" t="str">
        <f aca="false">IF($L13="","",INDEX(Inv_Prio,$L13))</f>
        <v/>
      </c>
      <c r="E13" s="84" t="str">
        <f aca="false">IF($L13="","",INDEX(Inv_Res,$L13))</f>
        <v/>
      </c>
      <c r="F13" s="67" t="str">
        <f aca="false">IF($L13="","",T(INDEX(Inv_Pilote,$L13)))</f>
        <v/>
      </c>
      <c r="G13" s="85" t="str">
        <f aca="false">IF($L13="","",IF(INDEX(Inv_Ech,$L13)=0,"—",INDEX(Inv_Ech,$L13)))</f>
        <v/>
      </c>
      <c r="H13" s="86" t="str">
        <f aca="false">IF($L13="","",INDEX(Inv_Avc,$L13))</f>
        <v/>
      </c>
      <c r="I13" s="83" t="str">
        <f aca="false">IF($L13="","",T(INDEX(Inv_StatAct,$L13)))</f>
        <v/>
      </c>
      <c r="J13" s="87" t="str">
        <f aca="true">IF($L13="","",IF(OR(G13="—",I13="Clôturée"),"—",IF(G13&lt;TODAY(),TODAY()-G13,0)))</f>
        <v/>
      </c>
      <c r="L13" s="0" t="str">
        <f aca="false">IFERROR(SMALL(CleAct,8)-2,"")</f>
        <v/>
      </c>
    </row>
    <row r="14" customFormat="false" ht="15" hidden="false" customHeight="false" outlineLevel="0" collapsed="false">
      <c r="A14" s="83" t="str">
        <f aca="false">IF($L14="","",INDEX(Inv_Num,$L14))</f>
        <v/>
      </c>
      <c r="B14" s="67" t="str">
        <f aca="false">IF($L14="","",INDEX(Inv_Nom,$L14))</f>
        <v/>
      </c>
      <c r="C14" s="67" t="str">
        <f aca="false">IF($L14="","",T(INDEX(Inv_Action,$L14)))</f>
        <v/>
      </c>
      <c r="D14" s="83" t="str">
        <f aca="false">IF($L14="","",INDEX(Inv_Prio,$L14))</f>
        <v/>
      </c>
      <c r="E14" s="84" t="str">
        <f aca="false">IF($L14="","",INDEX(Inv_Res,$L14))</f>
        <v/>
      </c>
      <c r="F14" s="67" t="str">
        <f aca="false">IF($L14="","",T(INDEX(Inv_Pilote,$L14)))</f>
        <v/>
      </c>
      <c r="G14" s="85" t="str">
        <f aca="false">IF($L14="","",IF(INDEX(Inv_Ech,$L14)=0,"—",INDEX(Inv_Ech,$L14)))</f>
        <v/>
      </c>
      <c r="H14" s="86" t="str">
        <f aca="false">IF($L14="","",INDEX(Inv_Avc,$L14))</f>
        <v/>
      </c>
      <c r="I14" s="83" t="str">
        <f aca="false">IF($L14="","",T(INDEX(Inv_StatAct,$L14)))</f>
        <v/>
      </c>
      <c r="J14" s="87" t="str">
        <f aca="true">IF($L14="","",IF(OR(G14="—",I14="Clôturée"),"—",IF(G14&lt;TODAY(),TODAY()-G14,0)))</f>
        <v/>
      </c>
      <c r="L14" s="0" t="str">
        <f aca="false">IFERROR(SMALL(CleAct,9)-2,"")</f>
        <v/>
      </c>
    </row>
    <row r="15" customFormat="false" ht="15" hidden="false" customHeight="false" outlineLevel="0" collapsed="false">
      <c r="A15" s="83" t="str">
        <f aca="false">IF($L15="","",INDEX(Inv_Num,$L15))</f>
        <v/>
      </c>
      <c r="B15" s="67" t="str">
        <f aca="false">IF($L15="","",INDEX(Inv_Nom,$L15))</f>
        <v/>
      </c>
      <c r="C15" s="67" t="str">
        <f aca="false">IF($L15="","",T(INDEX(Inv_Action,$L15)))</f>
        <v/>
      </c>
      <c r="D15" s="83" t="str">
        <f aca="false">IF($L15="","",INDEX(Inv_Prio,$L15))</f>
        <v/>
      </c>
      <c r="E15" s="84" t="str">
        <f aca="false">IF($L15="","",INDEX(Inv_Res,$L15))</f>
        <v/>
      </c>
      <c r="F15" s="67" t="str">
        <f aca="false">IF($L15="","",T(INDEX(Inv_Pilote,$L15)))</f>
        <v/>
      </c>
      <c r="G15" s="85" t="str">
        <f aca="false">IF($L15="","",IF(INDEX(Inv_Ech,$L15)=0,"—",INDEX(Inv_Ech,$L15)))</f>
        <v/>
      </c>
      <c r="H15" s="86" t="str">
        <f aca="false">IF($L15="","",INDEX(Inv_Avc,$L15))</f>
        <v/>
      </c>
      <c r="I15" s="83" t="str">
        <f aca="false">IF($L15="","",T(INDEX(Inv_StatAct,$L15)))</f>
        <v/>
      </c>
      <c r="J15" s="87" t="str">
        <f aca="true">IF($L15="","",IF(OR(G15="—",I15="Clôturée"),"—",IF(G15&lt;TODAY(),TODAY()-G15,0)))</f>
        <v/>
      </c>
      <c r="L15" s="0" t="str">
        <f aca="false">IFERROR(SMALL(CleAct,10)-2,"")</f>
        <v/>
      </c>
    </row>
    <row r="16" customFormat="false" ht="15" hidden="false" customHeight="false" outlineLevel="0" collapsed="false">
      <c r="A16" s="83" t="str">
        <f aca="false">IF($L16="","",INDEX(Inv_Num,$L16))</f>
        <v/>
      </c>
      <c r="B16" s="67" t="str">
        <f aca="false">IF($L16="","",INDEX(Inv_Nom,$L16))</f>
        <v/>
      </c>
      <c r="C16" s="67" t="str">
        <f aca="false">IF($L16="","",T(INDEX(Inv_Action,$L16)))</f>
        <v/>
      </c>
      <c r="D16" s="83" t="str">
        <f aca="false">IF($L16="","",INDEX(Inv_Prio,$L16))</f>
        <v/>
      </c>
      <c r="E16" s="84" t="str">
        <f aca="false">IF($L16="","",INDEX(Inv_Res,$L16))</f>
        <v/>
      </c>
      <c r="F16" s="67" t="str">
        <f aca="false">IF($L16="","",T(INDEX(Inv_Pilote,$L16)))</f>
        <v/>
      </c>
      <c r="G16" s="85" t="str">
        <f aca="false">IF($L16="","",IF(INDEX(Inv_Ech,$L16)=0,"—",INDEX(Inv_Ech,$L16)))</f>
        <v/>
      </c>
      <c r="H16" s="86" t="str">
        <f aca="false">IF($L16="","",INDEX(Inv_Avc,$L16))</f>
        <v/>
      </c>
      <c r="I16" s="83" t="str">
        <f aca="false">IF($L16="","",T(INDEX(Inv_StatAct,$L16)))</f>
        <v/>
      </c>
      <c r="J16" s="87" t="str">
        <f aca="true">IF($L16="","",IF(OR(G16="—",I16="Clôturée"),"—",IF(G16&lt;TODAY(),TODAY()-G16,0)))</f>
        <v/>
      </c>
      <c r="L16" s="0" t="str">
        <f aca="false">IFERROR(SMALL(CleAct,11)-2,"")</f>
        <v/>
      </c>
    </row>
    <row r="17" customFormat="false" ht="15" hidden="false" customHeight="false" outlineLevel="0" collapsed="false">
      <c r="A17" s="83" t="str">
        <f aca="false">IF($L17="","",INDEX(Inv_Num,$L17))</f>
        <v/>
      </c>
      <c r="B17" s="67" t="str">
        <f aca="false">IF($L17="","",INDEX(Inv_Nom,$L17))</f>
        <v/>
      </c>
      <c r="C17" s="67" t="str">
        <f aca="false">IF($L17="","",T(INDEX(Inv_Action,$L17)))</f>
        <v/>
      </c>
      <c r="D17" s="83" t="str">
        <f aca="false">IF($L17="","",INDEX(Inv_Prio,$L17))</f>
        <v/>
      </c>
      <c r="E17" s="84" t="str">
        <f aca="false">IF($L17="","",INDEX(Inv_Res,$L17))</f>
        <v/>
      </c>
      <c r="F17" s="67" t="str">
        <f aca="false">IF($L17="","",T(INDEX(Inv_Pilote,$L17)))</f>
        <v/>
      </c>
      <c r="G17" s="85" t="str">
        <f aca="false">IF($L17="","",IF(INDEX(Inv_Ech,$L17)=0,"—",INDEX(Inv_Ech,$L17)))</f>
        <v/>
      </c>
      <c r="H17" s="86" t="str">
        <f aca="false">IF($L17="","",INDEX(Inv_Avc,$L17))</f>
        <v/>
      </c>
      <c r="I17" s="83" t="str">
        <f aca="false">IF($L17="","",T(INDEX(Inv_StatAct,$L17)))</f>
        <v/>
      </c>
      <c r="J17" s="87" t="str">
        <f aca="true">IF($L17="","",IF(OR(G17="—",I17="Clôturée"),"—",IF(G17&lt;TODAY(),TODAY()-G17,0)))</f>
        <v/>
      </c>
      <c r="L17" s="0" t="str">
        <f aca="false">IFERROR(SMALL(CleAct,12)-2,"")</f>
        <v/>
      </c>
    </row>
    <row r="18" customFormat="false" ht="15" hidden="false" customHeight="false" outlineLevel="0" collapsed="false">
      <c r="A18" s="83" t="str">
        <f aca="false">IF($L18="","",INDEX(Inv_Num,$L18))</f>
        <v/>
      </c>
      <c r="B18" s="67" t="str">
        <f aca="false">IF($L18="","",INDEX(Inv_Nom,$L18))</f>
        <v/>
      </c>
      <c r="C18" s="67" t="str">
        <f aca="false">IF($L18="","",T(INDEX(Inv_Action,$L18)))</f>
        <v/>
      </c>
      <c r="D18" s="83" t="str">
        <f aca="false">IF($L18="","",INDEX(Inv_Prio,$L18))</f>
        <v/>
      </c>
      <c r="E18" s="84" t="str">
        <f aca="false">IF($L18="","",INDEX(Inv_Res,$L18))</f>
        <v/>
      </c>
      <c r="F18" s="67" t="str">
        <f aca="false">IF($L18="","",T(INDEX(Inv_Pilote,$L18)))</f>
        <v/>
      </c>
      <c r="G18" s="85" t="str">
        <f aca="false">IF($L18="","",IF(INDEX(Inv_Ech,$L18)=0,"—",INDEX(Inv_Ech,$L18)))</f>
        <v/>
      </c>
      <c r="H18" s="86" t="str">
        <f aca="false">IF($L18="","",INDEX(Inv_Avc,$L18))</f>
        <v/>
      </c>
      <c r="I18" s="83" t="str">
        <f aca="false">IF($L18="","",T(INDEX(Inv_StatAct,$L18)))</f>
        <v/>
      </c>
      <c r="J18" s="87" t="str">
        <f aca="true">IF($L18="","",IF(OR(G18="—",I18="Clôturée"),"—",IF(G18&lt;TODAY(),TODAY()-G18,0)))</f>
        <v/>
      </c>
      <c r="L18" s="0" t="str">
        <f aca="false">IFERROR(SMALL(CleAct,13)-2,"")</f>
        <v/>
      </c>
    </row>
    <row r="19" customFormat="false" ht="15" hidden="false" customHeight="false" outlineLevel="0" collapsed="false">
      <c r="A19" s="83" t="str">
        <f aca="false">IF($L19="","",INDEX(Inv_Num,$L19))</f>
        <v/>
      </c>
      <c r="B19" s="67" t="str">
        <f aca="false">IF($L19="","",INDEX(Inv_Nom,$L19))</f>
        <v/>
      </c>
      <c r="C19" s="67" t="str">
        <f aca="false">IF($L19="","",T(INDEX(Inv_Action,$L19)))</f>
        <v/>
      </c>
      <c r="D19" s="83" t="str">
        <f aca="false">IF($L19="","",INDEX(Inv_Prio,$L19))</f>
        <v/>
      </c>
      <c r="E19" s="84" t="str">
        <f aca="false">IF($L19="","",INDEX(Inv_Res,$L19))</f>
        <v/>
      </c>
      <c r="F19" s="67" t="str">
        <f aca="false">IF($L19="","",T(INDEX(Inv_Pilote,$L19)))</f>
        <v/>
      </c>
      <c r="G19" s="85" t="str">
        <f aca="false">IF($L19="","",IF(INDEX(Inv_Ech,$L19)=0,"—",INDEX(Inv_Ech,$L19)))</f>
        <v/>
      </c>
      <c r="H19" s="86" t="str">
        <f aca="false">IF($L19="","",INDEX(Inv_Avc,$L19))</f>
        <v/>
      </c>
      <c r="I19" s="83" t="str">
        <f aca="false">IF($L19="","",T(INDEX(Inv_StatAct,$L19)))</f>
        <v/>
      </c>
      <c r="J19" s="87" t="str">
        <f aca="true">IF($L19="","",IF(OR(G19="—",I19="Clôturée"),"—",IF(G19&lt;TODAY(),TODAY()-G19,0)))</f>
        <v/>
      </c>
      <c r="L19" s="0" t="str">
        <f aca="false">IFERROR(SMALL(CleAct,14)-2,"")</f>
        <v/>
      </c>
    </row>
    <row r="20" customFormat="false" ht="15" hidden="false" customHeight="false" outlineLevel="0" collapsed="false">
      <c r="A20" s="83" t="str">
        <f aca="false">IF($L20="","",INDEX(Inv_Num,$L20))</f>
        <v/>
      </c>
      <c r="B20" s="67" t="str">
        <f aca="false">IF($L20="","",INDEX(Inv_Nom,$L20))</f>
        <v/>
      </c>
      <c r="C20" s="67" t="str">
        <f aca="false">IF($L20="","",T(INDEX(Inv_Action,$L20)))</f>
        <v/>
      </c>
      <c r="D20" s="83" t="str">
        <f aca="false">IF($L20="","",INDEX(Inv_Prio,$L20))</f>
        <v/>
      </c>
      <c r="E20" s="84" t="str">
        <f aca="false">IF($L20="","",INDEX(Inv_Res,$L20))</f>
        <v/>
      </c>
      <c r="F20" s="67" t="str">
        <f aca="false">IF($L20="","",T(INDEX(Inv_Pilote,$L20)))</f>
        <v/>
      </c>
      <c r="G20" s="85" t="str">
        <f aca="false">IF($L20="","",IF(INDEX(Inv_Ech,$L20)=0,"—",INDEX(Inv_Ech,$L20)))</f>
        <v/>
      </c>
      <c r="H20" s="86" t="str">
        <f aca="false">IF($L20="","",INDEX(Inv_Avc,$L20))</f>
        <v/>
      </c>
      <c r="I20" s="83" t="str">
        <f aca="false">IF($L20="","",T(INDEX(Inv_StatAct,$L20)))</f>
        <v/>
      </c>
      <c r="J20" s="87" t="str">
        <f aca="true">IF($L20="","",IF(OR(G20="—",I20="Clôturée"),"—",IF(G20&lt;TODAY(),TODAY()-G20,0)))</f>
        <v/>
      </c>
      <c r="L20" s="0" t="str">
        <f aca="false">IFERROR(SMALL(CleAct,15)-2,"")</f>
        <v/>
      </c>
    </row>
    <row r="21" customFormat="false" ht="15" hidden="false" customHeight="false" outlineLevel="0" collapsed="false">
      <c r="A21" s="83" t="str">
        <f aca="false">IF($L21="","",INDEX(Inv_Num,$L21))</f>
        <v/>
      </c>
      <c r="B21" s="67" t="str">
        <f aca="false">IF($L21="","",INDEX(Inv_Nom,$L21))</f>
        <v/>
      </c>
      <c r="C21" s="67" t="str">
        <f aca="false">IF($L21="","",T(INDEX(Inv_Action,$L21)))</f>
        <v/>
      </c>
      <c r="D21" s="83" t="str">
        <f aca="false">IF($L21="","",INDEX(Inv_Prio,$L21))</f>
        <v/>
      </c>
      <c r="E21" s="84" t="str">
        <f aca="false">IF($L21="","",INDEX(Inv_Res,$L21))</f>
        <v/>
      </c>
      <c r="F21" s="67" t="str">
        <f aca="false">IF($L21="","",T(INDEX(Inv_Pilote,$L21)))</f>
        <v/>
      </c>
      <c r="G21" s="85" t="str">
        <f aca="false">IF($L21="","",IF(INDEX(Inv_Ech,$L21)=0,"—",INDEX(Inv_Ech,$L21)))</f>
        <v/>
      </c>
      <c r="H21" s="86" t="str">
        <f aca="false">IF($L21="","",INDEX(Inv_Avc,$L21))</f>
        <v/>
      </c>
      <c r="I21" s="83" t="str">
        <f aca="false">IF($L21="","",T(INDEX(Inv_StatAct,$L21)))</f>
        <v/>
      </c>
      <c r="J21" s="87" t="str">
        <f aca="true">IF($L21="","",IF(OR(G21="—",I21="Clôturée"),"—",IF(G21&lt;TODAY(),TODAY()-G21,0)))</f>
        <v/>
      </c>
      <c r="L21" s="0" t="str">
        <f aca="false">IFERROR(SMALL(CleAct,16)-2,"")</f>
        <v/>
      </c>
    </row>
    <row r="22" customFormat="false" ht="15" hidden="false" customHeight="false" outlineLevel="0" collapsed="false">
      <c r="A22" s="83" t="str">
        <f aca="false">IF($L22="","",INDEX(Inv_Num,$L22))</f>
        <v/>
      </c>
      <c r="B22" s="67" t="str">
        <f aca="false">IF($L22="","",INDEX(Inv_Nom,$L22))</f>
        <v/>
      </c>
      <c r="C22" s="67" t="str">
        <f aca="false">IF($L22="","",T(INDEX(Inv_Action,$L22)))</f>
        <v/>
      </c>
      <c r="D22" s="83" t="str">
        <f aca="false">IF($L22="","",INDEX(Inv_Prio,$L22))</f>
        <v/>
      </c>
      <c r="E22" s="84" t="str">
        <f aca="false">IF($L22="","",INDEX(Inv_Res,$L22))</f>
        <v/>
      </c>
      <c r="F22" s="67" t="str">
        <f aca="false">IF($L22="","",T(INDEX(Inv_Pilote,$L22)))</f>
        <v/>
      </c>
      <c r="G22" s="85" t="str">
        <f aca="false">IF($L22="","",IF(INDEX(Inv_Ech,$L22)=0,"—",INDEX(Inv_Ech,$L22)))</f>
        <v/>
      </c>
      <c r="H22" s="86" t="str">
        <f aca="false">IF($L22="","",INDEX(Inv_Avc,$L22))</f>
        <v/>
      </c>
      <c r="I22" s="83" t="str">
        <f aca="false">IF($L22="","",T(INDEX(Inv_StatAct,$L22)))</f>
        <v/>
      </c>
      <c r="J22" s="87" t="str">
        <f aca="true">IF($L22="","",IF(OR(G22="—",I22="Clôturée"),"—",IF(G22&lt;TODAY(),TODAY()-G22,0)))</f>
        <v/>
      </c>
      <c r="L22" s="0" t="str">
        <f aca="false">IFERROR(SMALL(CleAct,17)-2,"")</f>
        <v/>
      </c>
    </row>
    <row r="23" customFormat="false" ht="15" hidden="false" customHeight="false" outlineLevel="0" collapsed="false">
      <c r="A23" s="83" t="str">
        <f aca="false">IF($L23="","",INDEX(Inv_Num,$L23))</f>
        <v/>
      </c>
      <c r="B23" s="67" t="str">
        <f aca="false">IF($L23="","",INDEX(Inv_Nom,$L23))</f>
        <v/>
      </c>
      <c r="C23" s="67" t="str">
        <f aca="false">IF($L23="","",T(INDEX(Inv_Action,$L23)))</f>
        <v/>
      </c>
      <c r="D23" s="83" t="str">
        <f aca="false">IF($L23="","",INDEX(Inv_Prio,$L23))</f>
        <v/>
      </c>
      <c r="E23" s="84" t="str">
        <f aca="false">IF($L23="","",INDEX(Inv_Res,$L23))</f>
        <v/>
      </c>
      <c r="F23" s="67" t="str">
        <f aca="false">IF($L23="","",T(INDEX(Inv_Pilote,$L23)))</f>
        <v/>
      </c>
      <c r="G23" s="85" t="str">
        <f aca="false">IF($L23="","",IF(INDEX(Inv_Ech,$L23)=0,"—",INDEX(Inv_Ech,$L23)))</f>
        <v/>
      </c>
      <c r="H23" s="86" t="str">
        <f aca="false">IF($L23="","",INDEX(Inv_Avc,$L23))</f>
        <v/>
      </c>
      <c r="I23" s="83" t="str">
        <f aca="false">IF($L23="","",T(INDEX(Inv_StatAct,$L23)))</f>
        <v/>
      </c>
      <c r="J23" s="87" t="str">
        <f aca="true">IF($L23="","",IF(OR(G23="—",I23="Clôturée"),"—",IF(G23&lt;TODAY(),TODAY()-G23,0)))</f>
        <v/>
      </c>
      <c r="L23" s="0" t="str">
        <f aca="false">IFERROR(SMALL(CleAct,18)-2,"")</f>
        <v/>
      </c>
    </row>
    <row r="24" customFormat="false" ht="15" hidden="false" customHeight="false" outlineLevel="0" collapsed="false">
      <c r="A24" s="83" t="str">
        <f aca="false">IF($L24="","",INDEX(Inv_Num,$L24))</f>
        <v/>
      </c>
      <c r="B24" s="67" t="str">
        <f aca="false">IF($L24="","",INDEX(Inv_Nom,$L24))</f>
        <v/>
      </c>
      <c r="C24" s="67" t="str">
        <f aca="false">IF($L24="","",T(INDEX(Inv_Action,$L24)))</f>
        <v/>
      </c>
      <c r="D24" s="83" t="str">
        <f aca="false">IF($L24="","",INDEX(Inv_Prio,$L24))</f>
        <v/>
      </c>
      <c r="E24" s="84" t="str">
        <f aca="false">IF($L24="","",INDEX(Inv_Res,$L24))</f>
        <v/>
      </c>
      <c r="F24" s="67" t="str">
        <f aca="false">IF($L24="","",T(INDEX(Inv_Pilote,$L24)))</f>
        <v/>
      </c>
      <c r="G24" s="85" t="str">
        <f aca="false">IF($L24="","",IF(INDEX(Inv_Ech,$L24)=0,"—",INDEX(Inv_Ech,$L24)))</f>
        <v/>
      </c>
      <c r="H24" s="86" t="str">
        <f aca="false">IF($L24="","",INDEX(Inv_Avc,$L24))</f>
        <v/>
      </c>
      <c r="I24" s="83" t="str">
        <f aca="false">IF($L24="","",T(INDEX(Inv_StatAct,$L24)))</f>
        <v/>
      </c>
      <c r="J24" s="87" t="str">
        <f aca="true">IF($L24="","",IF(OR(G24="—",I24="Clôturée"),"—",IF(G24&lt;TODAY(),TODAY()-G24,0)))</f>
        <v/>
      </c>
      <c r="L24" s="0" t="str">
        <f aca="false">IFERROR(SMALL(CleAct,19)-2,"")</f>
        <v/>
      </c>
    </row>
    <row r="25" customFormat="false" ht="15" hidden="false" customHeight="false" outlineLevel="0" collapsed="false">
      <c r="A25" s="83" t="str">
        <f aca="false">IF($L25="","",INDEX(Inv_Num,$L25))</f>
        <v/>
      </c>
      <c r="B25" s="67" t="str">
        <f aca="false">IF($L25="","",INDEX(Inv_Nom,$L25))</f>
        <v/>
      </c>
      <c r="C25" s="67" t="str">
        <f aca="false">IF($L25="","",T(INDEX(Inv_Action,$L25)))</f>
        <v/>
      </c>
      <c r="D25" s="83" t="str">
        <f aca="false">IF($L25="","",INDEX(Inv_Prio,$L25))</f>
        <v/>
      </c>
      <c r="E25" s="84" t="str">
        <f aca="false">IF($L25="","",INDEX(Inv_Res,$L25))</f>
        <v/>
      </c>
      <c r="F25" s="67" t="str">
        <f aca="false">IF($L25="","",T(INDEX(Inv_Pilote,$L25)))</f>
        <v/>
      </c>
      <c r="G25" s="85" t="str">
        <f aca="false">IF($L25="","",IF(INDEX(Inv_Ech,$L25)=0,"—",INDEX(Inv_Ech,$L25)))</f>
        <v/>
      </c>
      <c r="H25" s="86" t="str">
        <f aca="false">IF($L25="","",INDEX(Inv_Avc,$L25))</f>
        <v/>
      </c>
      <c r="I25" s="83" t="str">
        <f aca="false">IF($L25="","",T(INDEX(Inv_StatAct,$L25)))</f>
        <v/>
      </c>
      <c r="J25" s="87" t="str">
        <f aca="true">IF($L25="","",IF(OR(G25="—",I25="Clôturée"),"—",IF(G25&lt;TODAY(),TODAY()-G25,0)))</f>
        <v/>
      </c>
      <c r="L25" s="0" t="str">
        <f aca="false">IFERROR(SMALL(CleAct,20)-2,"")</f>
        <v/>
      </c>
    </row>
    <row r="26" customFormat="false" ht="15" hidden="false" customHeight="false" outlineLevel="0" collapsed="false">
      <c r="A26" s="83" t="str">
        <f aca="false">IF($L26="","",INDEX(Inv_Num,$L26))</f>
        <v/>
      </c>
      <c r="B26" s="67" t="str">
        <f aca="false">IF($L26="","",INDEX(Inv_Nom,$L26))</f>
        <v/>
      </c>
      <c r="C26" s="67" t="str">
        <f aca="false">IF($L26="","",T(INDEX(Inv_Action,$L26)))</f>
        <v/>
      </c>
      <c r="D26" s="83" t="str">
        <f aca="false">IF($L26="","",INDEX(Inv_Prio,$L26))</f>
        <v/>
      </c>
      <c r="E26" s="84" t="str">
        <f aca="false">IF($L26="","",INDEX(Inv_Res,$L26))</f>
        <v/>
      </c>
      <c r="F26" s="67" t="str">
        <f aca="false">IF($L26="","",T(INDEX(Inv_Pilote,$L26)))</f>
        <v/>
      </c>
      <c r="G26" s="85" t="str">
        <f aca="false">IF($L26="","",IF(INDEX(Inv_Ech,$L26)=0,"—",INDEX(Inv_Ech,$L26)))</f>
        <v/>
      </c>
      <c r="H26" s="86" t="str">
        <f aca="false">IF($L26="","",INDEX(Inv_Avc,$L26))</f>
        <v/>
      </c>
      <c r="I26" s="83" t="str">
        <f aca="false">IF($L26="","",T(INDEX(Inv_StatAct,$L26)))</f>
        <v/>
      </c>
      <c r="J26" s="87" t="str">
        <f aca="true">IF($L26="","",IF(OR(G26="—",I26="Clôturée"),"—",IF(G26&lt;TODAY(),TODAY()-G26,0)))</f>
        <v/>
      </c>
      <c r="L26" s="0" t="str">
        <f aca="false">IFERROR(SMALL(CleAct,21)-2,"")</f>
        <v/>
      </c>
    </row>
    <row r="27" customFormat="false" ht="15" hidden="false" customHeight="false" outlineLevel="0" collapsed="false">
      <c r="A27" s="83" t="str">
        <f aca="false">IF($L27="","",INDEX(Inv_Num,$L27))</f>
        <v/>
      </c>
      <c r="B27" s="67" t="str">
        <f aca="false">IF($L27="","",INDEX(Inv_Nom,$L27))</f>
        <v/>
      </c>
      <c r="C27" s="67" t="str">
        <f aca="false">IF($L27="","",T(INDEX(Inv_Action,$L27)))</f>
        <v/>
      </c>
      <c r="D27" s="83" t="str">
        <f aca="false">IF($L27="","",INDEX(Inv_Prio,$L27))</f>
        <v/>
      </c>
      <c r="E27" s="84" t="str">
        <f aca="false">IF($L27="","",INDEX(Inv_Res,$L27))</f>
        <v/>
      </c>
      <c r="F27" s="67" t="str">
        <f aca="false">IF($L27="","",T(INDEX(Inv_Pilote,$L27)))</f>
        <v/>
      </c>
      <c r="G27" s="85" t="str">
        <f aca="false">IF($L27="","",IF(INDEX(Inv_Ech,$L27)=0,"—",INDEX(Inv_Ech,$L27)))</f>
        <v/>
      </c>
      <c r="H27" s="86" t="str">
        <f aca="false">IF($L27="","",INDEX(Inv_Avc,$L27))</f>
        <v/>
      </c>
      <c r="I27" s="83" t="str">
        <f aca="false">IF($L27="","",T(INDEX(Inv_StatAct,$L27)))</f>
        <v/>
      </c>
      <c r="J27" s="87" t="str">
        <f aca="true">IF($L27="","",IF(OR(G27="—",I27="Clôturée"),"—",IF(G27&lt;TODAY(),TODAY()-G27,0)))</f>
        <v/>
      </c>
      <c r="L27" s="0" t="str">
        <f aca="false">IFERROR(SMALL(CleAct,22)-2,"")</f>
        <v/>
      </c>
    </row>
    <row r="28" customFormat="false" ht="15" hidden="false" customHeight="false" outlineLevel="0" collapsed="false">
      <c r="A28" s="83" t="str">
        <f aca="false">IF($L28="","",INDEX(Inv_Num,$L28))</f>
        <v/>
      </c>
      <c r="B28" s="67" t="str">
        <f aca="false">IF($L28="","",INDEX(Inv_Nom,$L28))</f>
        <v/>
      </c>
      <c r="C28" s="67" t="str">
        <f aca="false">IF($L28="","",T(INDEX(Inv_Action,$L28)))</f>
        <v/>
      </c>
      <c r="D28" s="83" t="str">
        <f aca="false">IF($L28="","",INDEX(Inv_Prio,$L28))</f>
        <v/>
      </c>
      <c r="E28" s="84" t="str">
        <f aca="false">IF($L28="","",INDEX(Inv_Res,$L28))</f>
        <v/>
      </c>
      <c r="F28" s="67" t="str">
        <f aca="false">IF($L28="","",T(INDEX(Inv_Pilote,$L28)))</f>
        <v/>
      </c>
      <c r="G28" s="85" t="str">
        <f aca="false">IF($L28="","",IF(INDEX(Inv_Ech,$L28)=0,"—",INDEX(Inv_Ech,$L28)))</f>
        <v/>
      </c>
      <c r="H28" s="86" t="str">
        <f aca="false">IF($L28="","",INDEX(Inv_Avc,$L28))</f>
        <v/>
      </c>
      <c r="I28" s="83" t="str">
        <f aca="false">IF($L28="","",T(INDEX(Inv_StatAct,$L28)))</f>
        <v/>
      </c>
      <c r="J28" s="87" t="str">
        <f aca="true">IF($L28="","",IF(OR(G28="—",I28="Clôturée"),"—",IF(G28&lt;TODAY(),TODAY()-G28,0)))</f>
        <v/>
      </c>
      <c r="L28" s="0" t="str">
        <f aca="false">IFERROR(SMALL(CleAct,23)-2,"")</f>
        <v/>
      </c>
    </row>
    <row r="29" customFormat="false" ht="15" hidden="false" customHeight="false" outlineLevel="0" collapsed="false">
      <c r="A29" s="83" t="str">
        <f aca="false">IF($L29="","",INDEX(Inv_Num,$L29))</f>
        <v/>
      </c>
      <c r="B29" s="67" t="str">
        <f aca="false">IF($L29="","",INDEX(Inv_Nom,$L29))</f>
        <v/>
      </c>
      <c r="C29" s="67" t="str">
        <f aca="false">IF($L29="","",T(INDEX(Inv_Action,$L29)))</f>
        <v/>
      </c>
      <c r="D29" s="83" t="str">
        <f aca="false">IF($L29="","",INDEX(Inv_Prio,$L29))</f>
        <v/>
      </c>
      <c r="E29" s="84" t="str">
        <f aca="false">IF($L29="","",INDEX(Inv_Res,$L29))</f>
        <v/>
      </c>
      <c r="F29" s="67" t="str">
        <f aca="false">IF($L29="","",T(INDEX(Inv_Pilote,$L29)))</f>
        <v/>
      </c>
      <c r="G29" s="85" t="str">
        <f aca="false">IF($L29="","",IF(INDEX(Inv_Ech,$L29)=0,"—",INDEX(Inv_Ech,$L29)))</f>
        <v/>
      </c>
      <c r="H29" s="86" t="str">
        <f aca="false">IF($L29="","",INDEX(Inv_Avc,$L29))</f>
        <v/>
      </c>
      <c r="I29" s="83" t="str">
        <f aca="false">IF($L29="","",T(INDEX(Inv_StatAct,$L29)))</f>
        <v/>
      </c>
      <c r="J29" s="87" t="str">
        <f aca="true">IF($L29="","",IF(OR(G29="—",I29="Clôturée"),"—",IF(G29&lt;TODAY(),TODAY()-G29,0)))</f>
        <v/>
      </c>
      <c r="L29" s="0" t="str">
        <f aca="false">IFERROR(SMALL(CleAct,24)-2,"")</f>
        <v/>
      </c>
    </row>
    <row r="30" customFormat="false" ht="15" hidden="false" customHeight="false" outlineLevel="0" collapsed="false">
      <c r="A30" s="83" t="str">
        <f aca="false">IF($L30="","",INDEX(Inv_Num,$L30))</f>
        <v/>
      </c>
      <c r="B30" s="67" t="str">
        <f aca="false">IF($L30="","",INDEX(Inv_Nom,$L30))</f>
        <v/>
      </c>
      <c r="C30" s="67" t="str">
        <f aca="false">IF($L30="","",T(INDEX(Inv_Action,$L30)))</f>
        <v/>
      </c>
      <c r="D30" s="83" t="str">
        <f aca="false">IF($L30="","",INDEX(Inv_Prio,$L30))</f>
        <v/>
      </c>
      <c r="E30" s="84" t="str">
        <f aca="false">IF($L30="","",INDEX(Inv_Res,$L30))</f>
        <v/>
      </c>
      <c r="F30" s="67" t="str">
        <f aca="false">IF($L30="","",T(INDEX(Inv_Pilote,$L30)))</f>
        <v/>
      </c>
      <c r="G30" s="85" t="str">
        <f aca="false">IF($L30="","",IF(INDEX(Inv_Ech,$L30)=0,"—",INDEX(Inv_Ech,$L30)))</f>
        <v/>
      </c>
      <c r="H30" s="86" t="str">
        <f aca="false">IF($L30="","",INDEX(Inv_Avc,$L30))</f>
        <v/>
      </c>
      <c r="I30" s="83" t="str">
        <f aca="false">IF($L30="","",T(INDEX(Inv_StatAct,$L30)))</f>
        <v/>
      </c>
      <c r="J30" s="87" t="str">
        <f aca="true">IF($L30="","",IF(OR(G30="—",I30="Clôturée"),"—",IF(G30&lt;TODAY(),TODAY()-G30,0)))</f>
        <v/>
      </c>
      <c r="L30" s="0" t="str">
        <f aca="false">IFERROR(SMALL(CleAct,25)-2,"")</f>
        <v/>
      </c>
    </row>
    <row r="31" customFormat="false" ht="15" hidden="false" customHeight="false" outlineLevel="0" collapsed="false">
      <c r="A31" s="83" t="str">
        <f aca="false">IF($L31="","",INDEX(Inv_Num,$L31))</f>
        <v/>
      </c>
      <c r="B31" s="67" t="str">
        <f aca="false">IF($L31="","",INDEX(Inv_Nom,$L31))</f>
        <v/>
      </c>
      <c r="C31" s="67" t="str">
        <f aca="false">IF($L31="","",T(INDEX(Inv_Action,$L31)))</f>
        <v/>
      </c>
      <c r="D31" s="83" t="str">
        <f aca="false">IF($L31="","",INDEX(Inv_Prio,$L31))</f>
        <v/>
      </c>
      <c r="E31" s="84" t="str">
        <f aca="false">IF($L31="","",INDEX(Inv_Res,$L31))</f>
        <v/>
      </c>
      <c r="F31" s="67" t="str">
        <f aca="false">IF($L31="","",T(INDEX(Inv_Pilote,$L31)))</f>
        <v/>
      </c>
      <c r="G31" s="85" t="str">
        <f aca="false">IF($L31="","",IF(INDEX(Inv_Ech,$L31)=0,"—",INDEX(Inv_Ech,$L31)))</f>
        <v/>
      </c>
      <c r="H31" s="86" t="str">
        <f aca="false">IF($L31="","",INDEX(Inv_Avc,$L31))</f>
        <v/>
      </c>
      <c r="I31" s="83" t="str">
        <f aca="false">IF($L31="","",T(INDEX(Inv_StatAct,$L31)))</f>
        <v/>
      </c>
      <c r="J31" s="87" t="str">
        <f aca="true">IF($L31="","",IF(OR(G31="—",I31="Clôturée"),"—",IF(G31&lt;TODAY(),TODAY()-G31,0)))</f>
        <v/>
      </c>
      <c r="L31" s="0" t="str">
        <f aca="false">IFERROR(SMALL(CleAct,26)-2,"")</f>
        <v/>
      </c>
    </row>
    <row r="32" customFormat="false" ht="15" hidden="false" customHeight="false" outlineLevel="0" collapsed="false">
      <c r="A32" s="83" t="str">
        <f aca="false">IF($L32="","",INDEX(Inv_Num,$L32))</f>
        <v/>
      </c>
      <c r="B32" s="67" t="str">
        <f aca="false">IF($L32="","",INDEX(Inv_Nom,$L32))</f>
        <v/>
      </c>
      <c r="C32" s="67" t="str">
        <f aca="false">IF($L32="","",T(INDEX(Inv_Action,$L32)))</f>
        <v/>
      </c>
      <c r="D32" s="83" t="str">
        <f aca="false">IF($L32="","",INDEX(Inv_Prio,$L32))</f>
        <v/>
      </c>
      <c r="E32" s="84" t="str">
        <f aca="false">IF($L32="","",INDEX(Inv_Res,$L32))</f>
        <v/>
      </c>
      <c r="F32" s="67" t="str">
        <f aca="false">IF($L32="","",T(INDEX(Inv_Pilote,$L32)))</f>
        <v/>
      </c>
      <c r="G32" s="85" t="str">
        <f aca="false">IF($L32="","",IF(INDEX(Inv_Ech,$L32)=0,"—",INDEX(Inv_Ech,$L32)))</f>
        <v/>
      </c>
      <c r="H32" s="86" t="str">
        <f aca="false">IF($L32="","",INDEX(Inv_Avc,$L32))</f>
        <v/>
      </c>
      <c r="I32" s="83" t="str">
        <f aca="false">IF($L32="","",T(INDEX(Inv_StatAct,$L32)))</f>
        <v/>
      </c>
      <c r="J32" s="87" t="str">
        <f aca="true">IF($L32="","",IF(OR(G32="—",I32="Clôturée"),"—",IF(G32&lt;TODAY(),TODAY()-G32,0)))</f>
        <v/>
      </c>
      <c r="L32" s="0" t="str">
        <f aca="false">IFERROR(SMALL(CleAct,27)-2,"")</f>
        <v/>
      </c>
    </row>
    <row r="33" customFormat="false" ht="15" hidden="false" customHeight="false" outlineLevel="0" collapsed="false">
      <c r="A33" s="83" t="str">
        <f aca="false">IF($L33="","",INDEX(Inv_Num,$L33))</f>
        <v/>
      </c>
      <c r="B33" s="67" t="str">
        <f aca="false">IF($L33="","",INDEX(Inv_Nom,$L33))</f>
        <v/>
      </c>
      <c r="C33" s="67" t="str">
        <f aca="false">IF($L33="","",T(INDEX(Inv_Action,$L33)))</f>
        <v/>
      </c>
      <c r="D33" s="83" t="str">
        <f aca="false">IF($L33="","",INDEX(Inv_Prio,$L33))</f>
        <v/>
      </c>
      <c r="E33" s="84" t="str">
        <f aca="false">IF($L33="","",INDEX(Inv_Res,$L33))</f>
        <v/>
      </c>
      <c r="F33" s="67" t="str">
        <f aca="false">IF($L33="","",T(INDEX(Inv_Pilote,$L33)))</f>
        <v/>
      </c>
      <c r="G33" s="85" t="str">
        <f aca="false">IF($L33="","",IF(INDEX(Inv_Ech,$L33)=0,"—",INDEX(Inv_Ech,$L33)))</f>
        <v/>
      </c>
      <c r="H33" s="86" t="str">
        <f aca="false">IF($L33="","",INDEX(Inv_Avc,$L33))</f>
        <v/>
      </c>
      <c r="I33" s="83" t="str">
        <f aca="false">IF($L33="","",T(INDEX(Inv_StatAct,$L33)))</f>
        <v/>
      </c>
      <c r="J33" s="87" t="str">
        <f aca="true">IF($L33="","",IF(OR(G33="—",I33="Clôturée"),"—",IF(G33&lt;TODAY(),TODAY()-G33,0)))</f>
        <v/>
      </c>
      <c r="L33" s="0" t="str">
        <f aca="false">IFERROR(SMALL(CleAct,28)-2,"")</f>
        <v/>
      </c>
    </row>
    <row r="34" customFormat="false" ht="15" hidden="false" customHeight="false" outlineLevel="0" collapsed="false">
      <c r="A34" s="83" t="str">
        <f aca="false">IF($L34="","",INDEX(Inv_Num,$L34))</f>
        <v/>
      </c>
      <c r="B34" s="67" t="str">
        <f aca="false">IF($L34="","",INDEX(Inv_Nom,$L34))</f>
        <v/>
      </c>
      <c r="C34" s="67" t="str">
        <f aca="false">IF($L34="","",T(INDEX(Inv_Action,$L34)))</f>
        <v/>
      </c>
      <c r="D34" s="83" t="str">
        <f aca="false">IF($L34="","",INDEX(Inv_Prio,$L34))</f>
        <v/>
      </c>
      <c r="E34" s="84" t="str">
        <f aca="false">IF($L34="","",INDEX(Inv_Res,$L34))</f>
        <v/>
      </c>
      <c r="F34" s="67" t="str">
        <f aca="false">IF($L34="","",T(INDEX(Inv_Pilote,$L34)))</f>
        <v/>
      </c>
      <c r="G34" s="85" t="str">
        <f aca="false">IF($L34="","",IF(INDEX(Inv_Ech,$L34)=0,"—",INDEX(Inv_Ech,$L34)))</f>
        <v/>
      </c>
      <c r="H34" s="86" t="str">
        <f aca="false">IF($L34="","",INDEX(Inv_Avc,$L34))</f>
        <v/>
      </c>
      <c r="I34" s="83" t="str">
        <f aca="false">IF($L34="","",T(INDEX(Inv_StatAct,$L34)))</f>
        <v/>
      </c>
      <c r="J34" s="87" t="str">
        <f aca="true">IF($L34="","",IF(OR(G34="—",I34="Clôturée"),"—",IF(G34&lt;TODAY(),TODAY()-G34,0)))</f>
        <v/>
      </c>
      <c r="L34" s="0" t="str">
        <f aca="false">IFERROR(SMALL(CleAct,29)-2,"")</f>
        <v/>
      </c>
    </row>
    <row r="35" customFormat="false" ht="15" hidden="false" customHeight="false" outlineLevel="0" collapsed="false">
      <c r="A35" s="83" t="str">
        <f aca="false">IF($L35="","",INDEX(Inv_Num,$L35))</f>
        <v/>
      </c>
      <c r="B35" s="67" t="str">
        <f aca="false">IF($L35="","",INDEX(Inv_Nom,$L35))</f>
        <v/>
      </c>
      <c r="C35" s="67" t="str">
        <f aca="false">IF($L35="","",T(INDEX(Inv_Action,$L35)))</f>
        <v/>
      </c>
      <c r="D35" s="83" t="str">
        <f aca="false">IF($L35="","",INDEX(Inv_Prio,$L35))</f>
        <v/>
      </c>
      <c r="E35" s="84" t="str">
        <f aca="false">IF($L35="","",INDEX(Inv_Res,$L35))</f>
        <v/>
      </c>
      <c r="F35" s="67" t="str">
        <f aca="false">IF($L35="","",T(INDEX(Inv_Pilote,$L35)))</f>
        <v/>
      </c>
      <c r="G35" s="85" t="str">
        <f aca="false">IF($L35="","",IF(INDEX(Inv_Ech,$L35)=0,"—",INDEX(Inv_Ech,$L35)))</f>
        <v/>
      </c>
      <c r="H35" s="86" t="str">
        <f aca="false">IF($L35="","",INDEX(Inv_Avc,$L35))</f>
        <v/>
      </c>
      <c r="I35" s="83" t="str">
        <f aca="false">IF($L35="","",T(INDEX(Inv_StatAct,$L35)))</f>
        <v/>
      </c>
      <c r="J35" s="87" t="str">
        <f aca="true">IF($L35="","",IF(OR(G35="—",I35="Clôturée"),"—",IF(G35&lt;TODAY(),TODAY()-G35,0)))</f>
        <v/>
      </c>
      <c r="L35" s="0" t="str">
        <f aca="false">IFERROR(SMALL(CleAct,30)-2,"")</f>
        <v/>
      </c>
    </row>
    <row r="36" customFormat="false" ht="15" hidden="false" customHeight="false" outlineLevel="0" collapsed="false">
      <c r="A36" s="83" t="str">
        <f aca="false">IF($L36="","",INDEX(Inv_Num,$L36))</f>
        <v/>
      </c>
      <c r="B36" s="67" t="str">
        <f aca="false">IF($L36="","",INDEX(Inv_Nom,$L36))</f>
        <v/>
      </c>
      <c r="C36" s="67" t="str">
        <f aca="false">IF($L36="","",T(INDEX(Inv_Action,$L36)))</f>
        <v/>
      </c>
      <c r="D36" s="83" t="str">
        <f aca="false">IF($L36="","",INDEX(Inv_Prio,$L36))</f>
        <v/>
      </c>
      <c r="E36" s="84" t="str">
        <f aca="false">IF($L36="","",INDEX(Inv_Res,$L36))</f>
        <v/>
      </c>
      <c r="F36" s="67" t="str">
        <f aca="false">IF($L36="","",T(INDEX(Inv_Pilote,$L36)))</f>
        <v/>
      </c>
      <c r="G36" s="85" t="str">
        <f aca="false">IF($L36="","",IF(INDEX(Inv_Ech,$L36)=0,"—",INDEX(Inv_Ech,$L36)))</f>
        <v/>
      </c>
      <c r="H36" s="86" t="str">
        <f aca="false">IF($L36="","",INDEX(Inv_Avc,$L36))</f>
        <v/>
      </c>
      <c r="I36" s="83" t="str">
        <f aca="false">IF($L36="","",T(INDEX(Inv_StatAct,$L36)))</f>
        <v/>
      </c>
      <c r="J36" s="87" t="str">
        <f aca="true">IF($L36="","",IF(OR(G36="—",I36="Clôturée"),"—",IF(G36&lt;TODAY(),TODAY()-G36,0)))</f>
        <v/>
      </c>
      <c r="L36" s="0" t="str">
        <f aca="false">IFERROR(SMALL(CleAct,31)-2,"")</f>
        <v/>
      </c>
    </row>
    <row r="37" customFormat="false" ht="15" hidden="false" customHeight="false" outlineLevel="0" collapsed="false">
      <c r="A37" s="83" t="str">
        <f aca="false">IF($L37="","",INDEX(Inv_Num,$L37))</f>
        <v/>
      </c>
      <c r="B37" s="67" t="str">
        <f aca="false">IF($L37="","",INDEX(Inv_Nom,$L37))</f>
        <v/>
      </c>
      <c r="C37" s="67" t="str">
        <f aca="false">IF($L37="","",T(INDEX(Inv_Action,$L37)))</f>
        <v/>
      </c>
      <c r="D37" s="83" t="str">
        <f aca="false">IF($L37="","",INDEX(Inv_Prio,$L37))</f>
        <v/>
      </c>
      <c r="E37" s="84" t="str">
        <f aca="false">IF($L37="","",INDEX(Inv_Res,$L37))</f>
        <v/>
      </c>
      <c r="F37" s="67" t="str">
        <f aca="false">IF($L37="","",T(INDEX(Inv_Pilote,$L37)))</f>
        <v/>
      </c>
      <c r="G37" s="85" t="str">
        <f aca="false">IF($L37="","",IF(INDEX(Inv_Ech,$L37)=0,"—",INDEX(Inv_Ech,$L37)))</f>
        <v/>
      </c>
      <c r="H37" s="86" t="str">
        <f aca="false">IF($L37="","",INDEX(Inv_Avc,$L37))</f>
        <v/>
      </c>
      <c r="I37" s="83" t="str">
        <f aca="false">IF($L37="","",T(INDEX(Inv_StatAct,$L37)))</f>
        <v/>
      </c>
      <c r="J37" s="87" t="str">
        <f aca="true">IF($L37="","",IF(OR(G37="—",I37="Clôturée"),"—",IF(G37&lt;TODAY(),TODAY()-G37,0)))</f>
        <v/>
      </c>
      <c r="L37" s="0" t="str">
        <f aca="false">IFERROR(SMALL(CleAct,32)-2,"")</f>
        <v/>
      </c>
    </row>
    <row r="38" customFormat="false" ht="15" hidden="false" customHeight="false" outlineLevel="0" collapsed="false">
      <c r="A38" s="83" t="str">
        <f aca="false">IF($L38="","",INDEX(Inv_Num,$L38))</f>
        <v/>
      </c>
      <c r="B38" s="67" t="str">
        <f aca="false">IF($L38="","",INDEX(Inv_Nom,$L38))</f>
        <v/>
      </c>
      <c r="C38" s="67" t="str">
        <f aca="false">IF($L38="","",T(INDEX(Inv_Action,$L38)))</f>
        <v/>
      </c>
      <c r="D38" s="83" t="str">
        <f aca="false">IF($L38="","",INDEX(Inv_Prio,$L38))</f>
        <v/>
      </c>
      <c r="E38" s="84" t="str">
        <f aca="false">IF($L38="","",INDEX(Inv_Res,$L38))</f>
        <v/>
      </c>
      <c r="F38" s="67" t="str">
        <f aca="false">IF($L38="","",T(INDEX(Inv_Pilote,$L38)))</f>
        <v/>
      </c>
      <c r="G38" s="85" t="str">
        <f aca="false">IF($L38="","",IF(INDEX(Inv_Ech,$L38)=0,"—",INDEX(Inv_Ech,$L38)))</f>
        <v/>
      </c>
      <c r="H38" s="86" t="str">
        <f aca="false">IF($L38="","",INDEX(Inv_Avc,$L38))</f>
        <v/>
      </c>
      <c r="I38" s="83" t="str">
        <f aca="false">IF($L38="","",T(INDEX(Inv_StatAct,$L38)))</f>
        <v/>
      </c>
      <c r="J38" s="87" t="str">
        <f aca="true">IF($L38="","",IF(OR(G38="—",I38="Clôturée"),"—",IF(G38&lt;TODAY(),TODAY()-G38,0)))</f>
        <v/>
      </c>
      <c r="L38" s="0" t="str">
        <f aca="false">IFERROR(SMALL(CleAct,33)-2,"")</f>
        <v/>
      </c>
    </row>
    <row r="39" customFormat="false" ht="15" hidden="false" customHeight="false" outlineLevel="0" collapsed="false">
      <c r="A39" s="83" t="str">
        <f aca="false">IF($L39="","",INDEX(Inv_Num,$L39))</f>
        <v/>
      </c>
      <c r="B39" s="67" t="str">
        <f aca="false">IF($L39="","",INDEX(Inv_Nom,$L39))</f>
        <v/>
      </c>
      <c r="C39" s="67" t="str">
        <f aca="false">IF($L39="","",T(INDEX(Inv_Action,$L39)))</f>
        <v/>
      </c>
      <c r="D39" s="83" t="str">
        <f aca="false">IF($L39="","",INDEX(Inv_Prio,$L39))</f>
        <v/>
      </c>
      <c r="E39" s="84" t="str">
        <f aca="false">IF($L39="","",INDEX(Inv_Res,$L39))</f>
        <v/>
      </c>
      <c r="F39" s="67" t="str">
        <f aca="false">IF($L39="","",T(INDEX(Inv_Pilote,$L39)))</f>
        <v/>
      </c>
      <c r="G39" s="85" t="str">
        <f aca="false">IF($L39="","",IF(INDEX(Inv_Ech,$L39)=0,"—",INDEX(Inv_Ech,$L39)))</f>
        <v/>
      </c>
      <c r="H39" s="86" t="str">
        <f aca="false">IF($L39="","",INDEX(Inv_Avc,$L39))</f>
        <v/>
      </c>
      <c r="I39" s="83" t="str">
        <f aca="false">IF($L39="","",T(INDEX(Inv_StatAct,$L39)))</f>
        <v/>
      </c>
      <c r="J39" s="87" t="str">
        <f aca="true">IF($L39="","",IF(OR(G39="—",I39="Clôturée"),"—",IF(G39&lt;TODAY(),TODAY()-G39,0)))</f>
        <v/>
      </c>
      <c r="L39" s="0" t="str">
        <f aca="false">IFERROR(SMALL(CleAct,34)-2,"")</f>
        <v/>
      </c>
    </row>
    <row r="40" customFormat="false" ht="15" hidden="false" customHeight="false" outlineLevel="0" collapsed="false">
      <c r="A40" s="83" t="str">
        <f aca="false">IF($L40="","",INDEX(Inv_Num,$L40))</f>
        <v/>
      </c>
      <c r="B40" s="67" t="str">
        <f aca="false">IF($L40="","",INDEX(Inv_Nom,$L40))</f>
        <v/>
      </c>
      <c r="C40" s="67" t="str">
        <f aca="false">IF($L40="","",T(INDEX(Inv_Action,$L40)))</f>
        <v/>
      </c>
      <c r="D40" s="83" t="str">
        <f aca="false">IF($L40="","",INDEX(Inv_Prio,$L40))</f>
        <v/>
      </c>
      <c r="E40" s="84" t="str">
        <f aca="false">IF($L40="","",INDEX(Inv_Res,$L40))</f>
        <v/>
      </c>
      <c r="F40" s="67" t="str">
        <f aca="false">IF($L40="","",T(INDEX(Inv_Pilote,$L40)))</f>
        <v/>
      </c>
      <c r="G40" s="85" t="str">
        <f aca="false">IF($L40="","",IF(INDEX(Inv_Ech,$L40)=0,"—",INDEX(Inv_Ech,$L40)))</f>
        <v/>
      </c>
      <c r="H40" s="86" t="str">
        <f aca="false">IF($L40="","",INDEX(Inv_Avc,$L40))</f>
        <v/>
      </c>
      <c r="I40" s="83" t="str">
        <f aca="false">IF($L40="","",T(INDEX(Inv_StatAct,$L40)))</f>
        <v/>
      </c>
      <c r="J40" s="87" t="str">
        <f aca="true">IF($L40="","",IF(OR(G40="—",I40="Clôturée"),"—",IF(G40&lt;TODAY(),TODAY()-G40,0)))</f>
        <v/>
      </c>
      <c r="L40" s="0" t="str">
        <f aca="false">IFERROR(SMALL(CleAct,35)-2,"")</f>
        <v/>
      </c>
    </row>
    <row r="41" customFormat="false" ht="15" hidden="false" customHeight="false" outlineLevel="0" collapsed="false">
      <c r="A41" s="83" t="str">
        <f aca="false">IF($L41="","",INDEX(Inv_Num,$L41))</f>
        <v/>
      </c>
      <c r="B41" s="67" t="str">
        <f aca="false">IF($L41="","",INDEX(Inv_Nom,$L41))</f>
        <v/>
      </c>
      <c r="C41" s="67" t="str">
        <f aca="false">IF($L41="","",T(INDEX(Inv_Action,$L41)))</f>
        <v/>
      </c>
      <c r="D41" s="83" t="str">
        <f aca="false">IF($L41="","",INDEX(Inv_Prio,$L41))</f>
        <v/>
      </c>
      <c r="E41" s="84" t="str">
        <f aca="false">IF($L41="","",INDEX(Inv_Res,$L41))</f>
        <v/>
      </c>
      <c r="F41" s="67" t="str">
        <f aca="false">IF($L41="","",T(INDEX(Inv_Pilote,$L41)))</f>
        <v/>
      </c>
      <c r="G41" s="85" t="str">
        <f aca="false">IF($L41="","",IF(INDEX(Inv_Ech,$L41)=0,"—",INDEX(Inv_Ech,$L41)))</f>
        <v/>
      </c>
      <c r="H41" s="86" t="str">
        <f aca="false">IF($L41="","",INDEX(Inv_Avc,$L41))</f>
        <v/>
      </c>
      <c r="I41" s="83" t="str">
        <f aca="false">IF($L41="","",T(INDEX(Inv_StatAct,$L41)))</f>
        <v/>
      </c>
      <c r="J41" s="87" t="str">
        <f aca="true">IF($L41="","",IF(OR(G41="—",I41="Clôturée"),"—",IF(G41&lt;TODAY(),TODAY()-G41,0)))</f>
        <v/>
      </c>
      <c r="L41" s="0" t="str">
        <f aca="false">IFERROR(SMALL(CleAct,36)-2,"")</f>
        <v/>
      </c>
    </row>
    <row r="42" customFormat="false" ht="15" hidden="false" customHeight="false" outlineLevel="0" collapsed="false">
      <c r="A42" s="83" t="str">
        <f aca="false">IF($L42="","",INDEX(Inv_Num,$L42))</f>
        <v/>
      </c>
      <c r="B42" s="67" t="str">
        <f aca="false">IF($L42="","",INDEX(Inv_Nom,$L42))</f>
        <v/>
      </c>
      <c r="C42" s="67" t="str">
        <f aca="false">IF($L42="","",T(INDEX(Inv_Action,$L42)))</f>
        <v/>
      </c>
      <c r="D42" s="83" t="str">
        <f aca="false">IF($L42="","",INDEX(Inv_Prio,$L42))</f>
        <v/>
      </c>
      <c r="E42" s="84" t="str">
        <f aca="false">IF($L42="","",INDEX(Inv_Res,$L42))</f>
        <v/>
      </c>
      <c r="F42" s="67" t="str">
        <f aca="false">IF($L42="","",T(INDEX(Inv_Pilote,$L42)))</f>
        <v/>
      </c>
      <c r="G42" s="85" t="str">
        <f aca="false">IF($L42="","",IF(INDEX(Inv_Ech,$L42)=0,"—",INDEX(Inv_Ech,$L42)))</f>
        <v/>
      </c>
      <c r="H42" s="86" t="str">
        <f aca="false">IF($L42="","",INDEX(Inv_Avc,$L42))</f>
        <v/>
      </c>
      <c r="I42" s="83" t="str">
        <f aca="false">IF($L42="","",T(INDEX(Inv_StatAct,$L42)))</f>
        <v/>
      </c>
      <c r="J42" s="87" t="str">
        <f aca="true">IF($L42="","",IF(OR(G42="—",I42="Clôturée"),"—",IF(G42&lt;TODAY(),TODAY()-G42,0)))</f>
        <v/>
      </c>
      <c r="L42" s="0" t="str">
        <f aca="false">IFERROR(SMALL(CleAct,37)-2,"")</f>
        <v/>
      </c>
    </row>
    <row r="43" customFormat="false" ht="15" hidden="false" customHeight="false" outlineLevel="0" collapsed="false">
      <c r="A43" s="83" t="str">
        <f aca="false">IF($L43="","",INDEX(Inv_Num,$L43))</f>
        <v/>
      </c>
      <c r="B43" s="67" t="str">
        <f aca="false">IF($L43="","",INDEX(Inv_Nom,$L43))</f>
        <v/>
      </c>
      <c r="C43" s="67" t="str">
        <f aca="false">IF($L43="","",T(INDEX(Inv_Action,$L43)))</f>
        <v/>
      </c>
      <c r="D43" s="83" t="str">
        <f aca="false">IF($L43="","",INDEX(Inv_Prio,$L43))</f>
        <v/>
      </c>
      <c r="E43" s="84" t="str">
        <f aca="false">IF($L43="","",INDEX(Inv_Res,$L43))</f>
        <v/>
      </c>
      <c r="F43" s="67" t="str">
        <f aca="false">IF($L43="","",T(INDEX(Inv_Pilote,$L43)))</f>
        <v/>
      </c>
      <c r="G43" s="85" t="str">
        <f aca="false">IF($L43="","",IF(INDEX(Inv_Ech,$L43)=0,"—",INDEX(Inv_Ech,$L43)))</f>
        <v/>
      </c>
      <c r="H43" s="86" t="str">
        <f aca="false">IF($L43="","",INDEX(Inv_Avc,$L43))</f>
        <v/>
      </c>
      <c r="I43" s="83" t="str">
        <f aca="false">IF($L43="","",T(INDEX(Inv_StatAct,$L43)))</f>
        <v/>
      </c>
      <c r="J43" s="87" t="str">
        <f aca="true">IF($L43="","",IF(OR(G43="—",I43="Clôturée"),"—",IF(G43&lt;TODAY(),TODAY()-G43,0)))</f>
        <v/>
      </c>
      <c r="L43" s="0" t="str">
        <f aca="false">IFERROR(SMALL(CleAct,38)-2,"")</f>
        <v/>
      </c>
    </row>
    <row r="44" customFormat="false" ht="15" hidden="false" customHeight="false" outlineLevel="0" collapsed="false">
      <c r="A44" s="83" t="str">
        <f aca="false">IF($L44="","",INDEX(Inv_Num,$L44))</f>
        <v/>
      </c>
      <c r="B44" s="67" t="str">
        <f aca="false">IF($L44="","",INDEX(Inv_Nom,$L44))</f>
        <v/>
      </c>
      <c r="C44" s="67" t="str">
        <f aca="false">IF($L44="","",T(INDEX(Inv_Action,$L44)))</f>
        <v/>
      </c>
      <c r="D44" s="83" t="str">
        <f aca="false">IF($L44="","",INDEX(Inv_Prio,$L44))</f>
        <v/>
      </c>
      <c r="E44" s="84" t="str">
        <f aca="false">IF($L44="","",INDEX(Inv_Res,$L44))</f>
        <v/>
      </c>
      <c r="F44" s="67" t="str">
        <f aca="false">IF($L44="","",T(INDEX(Inv_Pilote,$L44)))</f>
        <v/>
      </c>
      <c r="G44" s="85" t="str">
        <f aca="false">IF($L44="","",IF(INDEX(Inv_Ech,$L44)=0,"—",INDEX(Inv_Ech,$L44)))</f>
        <v/>
      </c>
      <c r="H44" s="86" t="str">
        <f aca="false">IF($L44="","",INDEX(Inv_Avc,$L44))</f>
        <v/>
      </c>
      <c r="I44" s="83" t="str">
        <f aca="false">IF($L44="","",T(INDEX(Inv_StatAct,$L44)))</f>
        <v/>
      </c>
      <c r="J44" s="87" t="str">
        <f aca="true">IF($L44="","",IF(OR(G44="—",I44="Clôturée"),"—",IF(G44&lt;TODAY(),TODAY()-G44,0)))</f>
        <v/>
      </c>
      <c r="L44" s="0" t="str">
        <f aca="false">IFERROR(SMALL(CleAct,39)-2,"")</f>
        <v/>
      </c>
    </row>
    <row r="45" customFormat="false" ht="15" hidden="false" customHeight="false" outlineLevel="0" collapsed="false">
      <c r="A45" s="83" t="str">
        <f aca="false">IF($L45="","",INDEX(Inv_Num,$L45))</f>
        <v/>
      </c>
      <c r="B45" s="67" t="str">
        <f aca="false">IF($L45="","",INDEX(Inv_Nom,$L45))</f>
        <v/>
      </c>
      <c r="C45" s="67" t="str">
        <f aca="false">IF($L45="","",T(INDEX(Inv_Action,$L45)))</f>
        <v/>
      </c>
      <c r="D45" s="83" t="str">
        <f aca="false">IF($L45="","",INDEX(Inv_Prio,$L45))</f>
        <v/>
      </c>
      <c r="E45" s="84" t="str">
        <f aca="false">IF($L45="","",INDEX(Inv_Res,$L45))</f>
        <v/>
      </c>
      <c r="F45" s="67" t="str">
        <f aca="false">IF($L45="","",T(INDEX(Inv_Pilote,$L45)))</f>
        <v/>
      </c>
      <c r="G45" s="85" t="str">
        <f aca="false">IF($L45="","",IF(INDEX(Inv_Ech,$L45)=0,"—",INDEX(Inv_Ech,$L45)))</f>
        <v/>
      </c>
      <c r="H45" s="86" t="str">
        <f aca="false">IF($L45="","",INDEX(Inv_Avc,$L45))</f>
        <v/>
      </c>
      <c r="I45" s="83" t="str">
        <f aca="false">IF($L45="","",T(INDEX(Inv_StatAct,$L45)))</f>
        <v/>
      </c>
      <c r="J45" s="87" t="str">
        <f aca="true">IF($L45="","",IF(OR(G45="—",I45="Clôturée"),"—",IF(G45&lt;TODAY(),TODAY()-G45,0)))</f>
        <v/>
      </c>
      <c r="L45" s="0" t="str">
        <f aca="false">IFERROR(SMALL(CleAct,40)-2,"")</f>
        <v/>
      </c>
    </row>
    <row r="46" customFormat="false" ht="15" hidden="false" customHeight="false" outlineLevel="0" collapsed="false">
      <c r="A46" s="83" t="str">
        <f aca="false">IF($L46="","",INDEX(Inv_Num,$L46))</f>
        <v/>
      </c>
      <c r="B46" s="67" t="str">
        <f aca="false">IF($L46="","",INDEX(Inv_Nom,$L46))</f>
        <v/>
      </c>
      <c r="C46" s="67" t="str">
        <f aca="false">IF($L46="","",T(INDEX(Inv_Action,$L46)))</f>
        <v/>
      </c>
      <c r="D46" s="83" t="str">
        <f aca="false">IF($L46="","",INDEX(Inv_Prio,$L46))</f>
        <v/>
      </c>
      <c r="E46" s="84" t="str">
        <f aca="false">IF($L46="","",INDEX(Inv_Res,$L46))</f>
        <v/>
      </c>
      <c r="F46" s="67" t="str">
        <f aca="false">IF($L46="","",T(INDEX(Inv_Pilote,$L46)))</f>
        <v/>
      </c>
      <c r="G46" s="85" t="str">
        <f aca="false">IF($L46="","",IF(INDEX(Inv_Ech,$L46)=0,"—",INDEX(Inv_Ech,$L46)))</f>
        <v/>
      </c>
      <c r="H46" s="86" t="str">
        <f aca="false">IF($L46="","",INDEX(Inv_Avc,$L46))</f>
        <v/>
      </c>
      <c r="I46" s="83" t="str">
        <f aca="false">IF($L46="","",T(INDEX(Inv_StatAct,$L46)))</f>
        <v/>
      </c>
      <c r="J46" s="87" t="str">
        <f aca="true">IF($L46="","",IF(OR(G46="—",I46="Clôturée"),"—",IF(G46&lt;TODAY(),TODAY()-G46,0)))</f>
        <v/>
      </c>
      <c r="L46" s="0" t="str">
        <f aca="false">IFERROR(SMALL(CleAct,41)-2,"")</f>
        <v/>
      </c>
    </row>
    <row r="47" customFormat="false" ht="15" hidden="false" customHeight="false" outlineLevel="0" collapsed="false">
      <c r="A47" s="83" t="str">
        <f aca="false">IF($L47="","",INDEX(Inv_Num,$L47))</f>
        <v/>
      </c>
      <c r="B47" s="67" t="str">
        <f aca="false">IF($L47="","",INDEX(Inv_Nom,$L47))</f>
        <v/>
      </c>
      <c r="C47" s="67" t="str">
        <f aca="false">IF($L47="","",T(INDEX(Inv_Action,$L47)))</f>
        <v/>
      </c>
      <c r="D47" s="83" t="str">
        <f aca="false">IF($L47="","",INDEX(Inv_Prio,$L47))</f>
        <v/>
      </c>
      <c r="E47" s="84" t="str">
        <f aca="false">IF($L47="","",INDEX(Inv_Res,$L47))</f>
        <v/>
      </c>
      <c r="F47" s="67" t="str">
        <f aca="false">IF($L47="","",T(INDEX(Inv_Pilote,$L47)))</f>
        <v/>
      </c>
      <c r="G47" s="85" t="str">
        <f aca="false">IF($L47="","",IF(INDEX(Inv_Ech,$L47)=0,"—",INDEX(Inv_Ech,$L47)))</f>
        <v/>
      </c>
      <c r="H47" s="86" t="str">
        <f aca="false">IF($L47="","",INDEX(Inv_Avc,$L47))</f>
        <v/>
      </c>
      <c r="I47" s="83" t="str">
        <f aca="false">IF($L47="","",T(INDEX(Inv_StatAct,$L47)))</f>
        <v/>
      </c>
      <c r="J47" s="87" t="str">
        <f aca="true">IF($L47="","",IF(OR(G47="—",I47="Clôturée"),"—",IF(G47&lt;TODAY(),TODAY()-G47,0)))</f>
        <v/>
      </c>
      <c r="L47" s="0" t="str">
        <f aca="false">IFERROR(SMALL(CleAct,42)-2,"")</f>
        <v/>
      </c>
    </row>
    <row r="48" customFormat="false" ht="15" hidden="false" customHeight="false" outlineLevel="0" collapsed="false">
      <c r="A48" s="83" t="str">
        <f aca="false">IF($L48="","",INDEX(Inv_Num,$L48))</f>
        <v/>
      </c>
      <c r="B48" s="67" t="str">
        <f aca="false">IF($L48="","",INDEX(Inv_Nom,$L48))</f>
        <v/>
      </c>
      <c r="C48" s="67" t="str">
        <f aca="false">IF($L48="","",T(INDEX(Inv_Action,$L48)))</f>
        <v/>
      </c>
      <c r="D48" s="83" t="str">
        <f aca="false">IF($L48="","",INDEX(Inv_Prio,$L48))</f>
        <v/>
      </c>
      <c r="E48" s="84" t="str">
        <f aca="false">IF($L48="","",INDEX(Inv_Res,$L48))</f>
        <v/>
      </c>
      <c r="F48" s="67" t="str">
        <f aca="false">IF($L48="","",T(INDEX(Inv_Pilote,$L48)))</f>
        <v/>
      </c>
      <c r="G48" s="85" t="str">
        <f aca="false">IF($L48="","",IF(INDEX(Inv_Ech,$L48)=0,"—",INDEX(Inv_Ech,$L48)))</f>
        <v/>
      </c>
      <c r="H48" s="86" t="str">
        <f aca="false">IF($L48="","",INDEX(Inv_Avc,$L48))</f>
        <v/>
      </c>
      <c r="I48" s="83" t="str">
        <f aca="false">IF($L48="","",T(INDEX(Inv_StatAct,$L48)))</f>
        <v/>
      </c>
      <c r="J48" s="87" t="str">
        <f aca="true">IF($L48="","",IF(OR(G48="—",I48="Clôturée"),"—",IF(G48&lt;TODAY(),TODAY()-G48,0)))</f>
        <v/>
      </c>
      <c r="L48" s="0" t="str">
        <f aca="false">IFERROR(SMALL(CleAct,43)-2,"")</f>
        <v/>
      </c>
    </row>
    <row r="49" customFormat="false" ht="15" hidden="false" customHeight="false" outlineLevel="0" collapsed="false">
      <c r="A49" s="83" t="str">
        <f aca="false">IF($L49="","",INDEX(Inv_Num,$L49))</f>
        <v/>
      </c>
      <c r="B49" s="67" t="str">
        <f aca="false">IF($L49="","",INDEX(Inv_Nom,$L49))</f>
        <v/>
      </c>
      <c r="C49" s="67" t="str">
        <f aca="false">IF($L49="","",T(INDEX(Inv_Action,$L49)))</f>
        <v/>
      </c>
      <c r="D49" s="83" t="str">
        <f aca="false">IF($L49="","",INDEX(Inv_Prio,$L49))</f>
        <v/>
      </c>
      <c r="E49" s="84" t="str">
        <f aca="false">IF($L49="","",INDEX(Inv_Res,$L49))</f>
        <v/>
      </c>
      <c r="F49" s="67" t="str">
        <f aca="false">IF($L49="","",T(INDEX(Inv_Pilote,$L49)))</f>
        <v/>
      </c>
      <c r="G49" s="85" t="str">
        <f aca="false">IF($L49="","",IF(INDEX(Inv_Ech,$L49)=0,"—",INDEX(Inv_Ech,$L49)))</f>
        <v/>
      </c>
      <c r="H49" s="86" t="str">
        <f aca="false">IF($L49="","",INDEX(Inv_Avc,$L49))</f>
        <v/>
      </c>
      <c r="I49" s="83" t="str">
        <f aca="false">IF($L49="","",T(INDEX(Inv_StatAct,$L49)))</f>
        <v/>
      </c>
      <c r="J49" s="87" t="str">
        <f aca="true">IF($L49="","",IF(OR(G49="—",I49="Clôturée"),"—",IF(G49&lt;TODAY(),TODAY()-G49,0)))</f>
        <v/>
      </c>
      <c r="L49" s="0" t="str">
        <f aca="false">IFERROR(SMALL(CleAct,44)-2,"")</f>
        <v/>
      </c>
    </row>
    <row r="50" customFormat="false" ht="15" hidden="false" customHeight="false" outlineLevel="0" collapsed="false">
      <c r="A50" s="83" t="str">
        <f aca="false">IF($L50="","",INDEX(Inv_Num,$L50))</f>
        <v/>
      </c>
      <c r="B50" s="67" t="str">
        <f aca="false">IF($L50="","",INDEX(Inv_Nom,$L50))</f>
        <v/>
      </c>
      <c r="C50" s="67" t="str">
        <f aca="false">IF($L50="","",T(INDEX(Inv_Action,$L50)))</f>
        <v/>
      </c>
      <c r="D50" s="83" t="str">
        <f aca="false">IF($L50="","",INDEX(Inv_Prio,$L50))</f>
        <v/>
      </c>
      <c r="E50" s="84" t="str">
        <f aca="false">IF($L50="","",INDEX(Inv_Res,$L50))</f>
        <v/>
      </c>
      <c r="F50" s="67" t="str">
        <f aca="false">IF($L50="","",T(INDEX(Inv_Pilote,$L50)))</f>
        <v/>
      </c>
      <c r="G50" s="85" t="str">
        <f aca="false">IF($L50="","",IF(INDEX(Inv_Ech,$L50)=0,"—",INDEX(Inv_Ech,$L50)))</f>
        <v/>
      </c>
      <c r="H50" s="86" t="str">
        <f aca="false">IF($L50="","",INDEX(Inv_Avc,$L50))</f>
        <v/>
      </c>
      <c r="I50" s="83" t="str">
        <f aca="false">IF($L50="","",T(INDEX(Inv_StatAct,$L50)))</f>
        <v/>
      </c>
      <c r="J50" s="87" t="str">
        <f aca="true">IF($L50="","",IF(OR(G50="—",I50="Clôturée"),"—",IF(G50&lt;TODAY(),TODAY()-G50,0)))</f>
        <v/>
      </c>
      <c r="L50" s="0" t="str">
        <f aca="false">IFERROR(SMALL(CleAct,45)-2,"")</f>
        <v/>
      </c>
    </row>
    <row r="51" customFormat="false" ht="15" hidden="false" customHeight="false" outlineLevel="0" collapsed="false">
      <c r="A51" s="83" t="str">
        <f aca="false">IF($L51="","",INDEX(Inv_Num,$L51))</f>
        <v/>
      </c>
      <c r="B51" s="67" t="str">
        <f aca="false">IF($L51="","",INDEX(Inv_Nom,$L51))</f>
        <v/>
      </c>
      <c r="C51" s="67" t="str">
        <f aca="false">IF($L51="","",T(INDEX(Inv_Action,$L51)))</f>
        <v/>
      </c>
      <c r="D51" s="83" t="str">
        <f aca="false">IF($L51="","",INDEX(Inv_Prio,$L51))</f>
        <v/>
      </c>
      <c r="E51" s="84" t="str">
        <f aca="false">IF($L51="","",INDEX(Inv_Res,$L51))</f>
        <v/>
      </c>
      <c r="F51" s="67" t="str">
        <f aca="false">IF($L51="","",T(INDEX(Inv_Pilote,$L51)))</f>
        <v/>
      </c>
      <c r="G51" s="85" t="str">
        <f aca="false">IF($L51="","",IF(INDEX(Inv_Ech,$L51)=0,"—",INDEX(Inv_Ech,$L51)))</f>
        <v/>
      </c>
      <c r="H51" s="86" t="str">
        <f aca="false">IF($L51="","",INDEX(Inv_Avc,$L51))</f>
        <v/>
      </c>
      <c r="I51" s="83" t="str">
        <f aca="false">IF($L51="","",T(INDEX(Inv_StatAct,$L51)))</f>
        <v/>
      </c>
      <c r="J51" s="87" t="str">
        <f aca="true">IF($L51="","",IF(OR(G51="—",I51="Clôturée"),"—",IF(G51&lt;TODAY(),TODAY()-G51,0)))</f>
        <v/>
      </c>
      <c r="L51" s="0" t="str">
        <f aca="false">IFERROR(SMALL(CleAct,46)-2,"")</f>
        <v/>
      </c>
    </row>
    <row r="52" customFormat="false" ht="15" hidden="false" customHeight="false" outlineLevel="0" collapsed="false">
      <c r="A52" s="83" t="str">
        <f aca="false">IF($L52="","",INDEX(Inv_Num,$L52))</f>
        <v/>
      </c>
      <c r="B52" s="67" t="str">
        <f aca="false">IF($L52="","",INDEX(Inv_Nom,$L52))</f>
        <v/>
      </c>
      <c r="C52" s="67" t="str">
        <f aca="false">IF($L52="","",T(INDEX(Inv_Action,$L52)))</f>
        <v/>
      </c>
      <c r="D52" s="83" t="str">
        <f aca="false">IF($L52="","",INDEX(Inv_Prio,$L52))</f>
        <v/>
      </c>
      <c r="E52" s="84" t="str">
        <f aca="false">IF($L52="","",INDEX(Inv_Res,$L52))</f>
        <v/>
      </c>
      <c r="F52" s="67" t="str">
        <f aca="false">IF($L52="","",T(INDEX(Inv_Pilote,$L52)))</f>
        <v/>
      </c>
      <c r="G52" s="85" t="str">
        <f aca="false">IF($L52="","",IF(INDEX(Inv_Ech,$L52)=0,"—",INDEX(Inv_Ech,$L52)))</f>
        <v/>
      </c>
      <c r="H52" s="86" t="str">
        <f aca="false">IF($L52="","",INDEX(Inv_Avc,$L52))</f>
        <v/>
      </c>
      <c r="I52" s="83" t="str">
        <f aca="false">IF($L52="","",T(INDEX(Inv_StatAct,$L52)))</f>
        <v/>
      </c>
      <c r="J52" s="87" t="str">
        <f aca="true">IF($L52="","",IF(OR(G52="—",I52="Clôturée"),"—",IF(G52&lt;TODAY(),TODAY()-G52,0)))</f>
        <v/>
      </c>
      <c r="L52" s="0" t="str">
        <f aca="false">IFERROR(SMALL(CleAct,47)-2,"")</f>
        <v/>
      </c>
    </row>
    <row r="53" customFormat="false" ht="15" hidden="false" customHeight="false" outlineLevel="0" collapsed="false">
      <c r="A53" s="83" t="str">
        <f aca="false">IF($L53="","",INDEX(Inv_Num,$L53))</f>
        <v/>
      </c>
      <c r="B53" s="67" t="str">
        <f aca="false">IF($L53="","",INDEX(Inv_Nom,$L53))</f>
        <v/>
      </c>
      <c r="C53" s="67" t="str">
        <f aca="false">IF($L53="","",T(INDEX(Inv_Action,$L53)))</f>
        <v/>
      </c>
      <c r="D53" s="83" t="str">
        <f aca="false">IF($L53="","",INDEX(Inv_Prio,$L53))</f>
        <v/>
      </c>
      <c r="E53" s="84" t="str">
        <f aca="false">IF($L53="","",INDEX(Inv_Res,$L53))</f>
        <v/>
      </c>
      <c r="F53" s="67" t="str">
        <f aca="false">IF($L53="","",T(INDEX(Inv_Pilote,$L53)))</f>
        <v/>
      </c>
      <c r="G53" s="85" t="str">
        <f aca="false">IF($L53="","",IF(INDEX(Inv_Ech,$L53)=0,"—",INDEX(Inv_Ech,$L53)))</f>
        <v/>
      </c>
      <c r="H53" s="86" t="str">
        <f aca="false">IF($L53="","",INDEX(Inv_Avc,$L53))</f>
        <v/>
      </c>
      <c r="I53" s="83" t="str">
        <f aca="false">IF($L53="","",T(INDEX(Inv_StatAct,$L53)))</f>
        <v/>
      </c>
      <c r="J53" s="87" t="str">
        <f aca="true">IF($L53="","",IF(OR(G53="—",I53="Clôturée"),"—",IF(G53&lt;TODAY(),TODAY()-G53,0)))</f>
        <v/>
      </c>
      <c r="L53" s="0" t="str">
        <f aca="false">IFERROR(SMALL(CleAct,48)-2,"")</f>
        <v/>
      </c>
    </row>
    <row r="54" customFormat="false" ht="15" hidden="false" customHeight="false" outlineLevel="0" collapsed="false">
      <c r="A54" s="83" t="str">
        <f aca="false">IF($L54="","",INDEX(Inv_Num,$L54))</f>
        <v/>
      </c>
      <c r="B54" s="67" t="str">
        <f aca="false">IF($L54="","",INDEX(Inv_Nom,$L54))</f>
        <v/>
      </c>
      <c r="C54" s="67" t="str">
        <f aca="false">IF($L54="","",T(INDEX(Inv_Action,$L54)))</f>
        <v/>
      </c>
      <c r="D54" s="83" t="str">
        <f aca="false">IF($L54="","",INDEX(Inv_Prio,$L54))</f>
        <v/>
      </c>
      <c r="E54" s="84" t="str">
        <f aca="false">IF($L54="","",INDEX(Inv_Res,$L54))</f>
        <v/>
      </c>
      <c r="F54" s="67" t="str">
        <f aca="false">IF($L54="","",T(INDEX(Inv_Pilote,$L54)))</f>
        <v/>
      </c>
      <c r="G54" s="85" t="str">
        <f aca="false">IF($L54="","",IF(INDEX(Inv_Ech,$L54)=0,"—",INDEX(Inv_Ech,$L54)))</f>
        <v/>
      </c>
      <c r="H54" s="86" t="str">
        <f aca="false">IF($L54="","",INDEX(Inv_Avc,$L54))</f>
        <v/>
      </c>
      <c r="I54" s="83" t="str">
        <f aca="false">IF($L54="","",T(INDEX(Inv_StatAct,$L54)))</f>
        <v/>
      </c>
      <c r="J54" s="87" t="str">
        <f aca="true">IF($L54="","",IF(OR(G54="—",I54="Clôturée"),"—",IF(G54&lt;TODAY(),TODAY()-G54,0)))</f>
        <v/>
      </c>
      <c r="L54" s="0" t="str">
        <f aca="false">IFERROR(SMALL(CleAct,49)-2,"")</f>
        <v/>
      </c>
    </row>
    <row r="55" customFormat="false" ht="15" hidden="false" customHeight="false" outlineLevel="0" collapsed="false">
      <c r="A55" s="83" t="str">
        <f aca="false">IF($L55="","",INDEX(Inv_Num,$L55))</f>
        <v/>
      </c>
      <c r="B55" s="67" t="str">
        <f aca="false">IF($L55="","",INDEX(Inv_Nom,$L55))</f>
        <v/>
      </c>
      <c r="C55" s="67" t="str">
        <f aca="false">IF($L55="","",T(INDEX(Inv_Action,$L55)))</f>
        <v/>
      </c>
      <c r="D55" s="83" t="str">
        <f aca="false">IF($L55="","",INDEX(Inv_Prio,$L55))</f>
        <v/>
      </c>
      <c r="E55" s="84" t="str">
        <f aca="false">IF($L55="","",INDEX(Inv_Res,$L55))</f>
        <v/>
      </c>
      <c r="F55" s="67" t="str">
        <f aca="false">IF($L55="","",T(INDEX(Inv_Pilote,$L55)))</f>
        <v/>
      </c>
      <c r="G55" s="85" t="str">
        <f aca="false">IF($L55="","",IF(INDEX(Inv_Ech,$L55)=0,"—",INDEX(Inv_Ech,$L55)))</f>
        <v/>
      </c>
      <c r="H55" s="86" t="str">
        <f aca="false">IF($L55="","",INDEX(Inv_Avc,$L55))</f>
        <v/>
      </c>
      <c r="I55" s="83" t="str">
        <f aca="false">IF($L55="","",T(INDEX(Inv_StatAct,$L55)))</f>
        <v/>
      </c>
      <c r="J55" s="87" t="str">
        <f aca="true">IF($L55="","",IF(OR(G55="—",I55="Clôturée"),"—",IF(G55&lt;TODAY(),TODAY()-G55,0)))</f>
        <v/>
      </c>
      <c r="L55" s="0" t="str">
        <f aca="false">IFERROR(SMALL(CleAct,50)-2,"")</f>
        <v/>
      </c>
    </row>
    <row r="56" customFormat="false" ht="15" hidden="false" customHeight="false" outlineLevel="0" collapsed="false">
      <c r="A56" s="83" t="str">
        <f aca="false">IF($L56="","",INDEX(Inv_Num,$L56))</f>
        <v/>
      </c>
      <c r="B56" s="67" t="str">
        <f aca="false">IF($L56="","",INDEX(Inv_Nom,$L56))</f>
        <v/>
      </c>
      <c r="C56" s="67" t="str">
        <f aca="false">IF($L56="","",T(INDEX(Inv_Action,$L56)))</f>
        <v/>
      </c>
      <c r="D56" s="83" t="str">
        <f aca="false">IF($L56="","",INDEX(Inv_Prio,$L56))</f>
        <v/>
      </c>
      <c r="E56" s="84" t="str">
        <f aca="false">IF($L56="","",INDEX(Inv_Res,$L56))</f>
        <v/>
      </c>
      <c r="F56" s="67" t="str">
        <f aca="false">IF($L56="","",T(INDEX(Inv_Pilote,$L56)))</f>
        <v/>
      </c>
      <c r="G56" s="85" t="str">
        <f aca="false">IF($L56="","",IF(INDEX(Inv_Ech,$L56)=0,"—",INDEX(Inv_Ech,$L56)))</f>
        <v/>
      </c>
      <c r="H56" s="86" t="str">
        <f aca="false">IF($L56="","",INDEX(Inv_Avc,$L56))</f>
        <v/>
      </c>
      <c r="I56" s="83" t="str">
        <f aca="false">IF($L56="","",T(INDEX(Inv_StatAct,$L56)))</f>
        <v/>
      </c>
      <c r="J56" s="87" t="str">
        <f aca="true">IF($L56="","",IF(OR(G56="—",I56="Clôturée"),"—",IF(G56&lt;TODAY(),TODAY()-G56,0)))</f>
        <v/>
      </c>
      <c r="L56" s="0" t="str">
        <f aca="false">IFERROR(SMALL(CleAct,51)-2,"")</f>
        <v/>
      </c>
    </row>
    <row r="57" customFormat="false" ht="15" hidden="false" customHeight="false" outlineLevel="0" collapsed="false">
      <c r="A57" s="83" t="str">
        <f aca="false">IF($L57="","",INDEX(Inv_Num,$L57))</f>
        <v/>
      </c>
      <c r="B57" s="67" t="str">
        <f aca="false">IF($L57="","",INDEX(Inv_Nom,$L57))</f>
        <v/>
      </c>
      <c r="C57" s="67" t="str">
        <f aca="false">IF($L57="","",T(INDEX(Inv_Action,$L57)))</f>
        <v/>
      </c>
      <c r="D57" s="83" t="str">
        <f aca="false">IF($L57="","",INDEX(Inv_Prio,$L57))</f>
        <v/>
      </c>
      <c r="E57" s="84" t="str">
        <f aca="false">IF($L57="","",INDEX(Inv_Res,$L57))</f>
        <v/>
      </c>
      <c r="F57" s="67" t="str">
        <f aca="false">IF($L57="","",T(INDEX(Inv_Pilote,$L57)))</f>
        <v/>
      </c>
      <c r="G57" s="85" t="str">
        <f aca="false">IF($L57="","",IF(INDEX(Inv_Ech,$L57)=0,"—",INDEX(Inv_Ech,$L57)))</f>
        <v/>
      </c>
      <c r="H57" s="86" t="str">
        <f aca="false">IF($L57="","",INDEX(Inv_Avc,$L57))</f>
        <v/>
      </c>
      <c r="I57" s="83" t="str">
        <f aca="false">IF($L57="","",T(INDEX(Inv_StatAct,$L57)))</f>
        <v/>
      </c>
      <c r="J57" s="87" t="str">
        <f aca="true">IF($L57="","",IF(OR(G57="—",I57="Clôturée"),"—",IF(G57&lt;TODAY(),TODAY()-G57,0)))</f>
        <v/>
      </c>
      <c r="L57" s="0" t="str">
        <f aca="false">IFERROR(SMALL(CleAct,52)-2,"")</f>
        <v/>
      </c>
    </row>
    <row r="58" customFormat="false" ht="15" hidden="false" customHeight="false" outlineLevel="0" collapsed="false">
      <c r="A58" s="83" t="str">
        <f aca="false">IF($L58="","",INDEX(Inv_Num,$L58))</f>
        <v/>
      </c>
      <c r="B58" s="67" t="str">
        <f aca="false">IF($L58="","",INDEX(Inv_Nom,$L58))</f>
        <v/>
      </c>
      <c r="C58" s="67" t="str">
        <f aca="false">IF($L58="","",T(INDEX(Inv_Action,$L58)))</f>
        <v/>
      </c>
      <c r="D58" s="83" t="str">
        <f aca="false">IF($L58="","",INDEX(Inv_Prio,$L58))</f>
        <v/>
      </c>
      <c r="E58" s="84" t="str">
        <f aca="false">IF($L58="","",INDEX(Inv_Res,$L58))</f>
        <v/>
      </c>
      <c r="F58" s="67" t="str">
        <f aca="false">IF($L58="","",T(INDEX(Inv_Pilote,$L58)))</f>
        <v/>
      </c>
      <c r="G58" s="85" t="str">
        <f aca="false">IF($L58="","",IF(INDEX(Inv_Ech,$L58)=0,"—",INDEX(Inv_Ech,$L58)))</f>
        <v/>
      </c>
      <c r="H58" s="86" t="str">
        <f aca="false">IF($L58="","",INDEX(Inv_Avc,$L58))</f>
        <v/>
      </c>
      <c r="I58" s="83" t="str">
        <f aca="false">IF($L58="","",T(INDEX(Inv_StatAct,$L58)))</f>
        <v/>
      </c>
      <c r="J58" s="87" t="str">
        <f aca="true">IF($L58="","",IF(OR(G58="—",I58="Clôturée"),"—",IF(G58&lt;TODAY(),TODAY()-G58,0)))</f>
        <v/>
      </c>
      <c r="L58" s="0" t="str">
        <f aca="false">IFERROR(SMALL(CleAct,53)-2,"")</f>
        <v/>
      </c>
    </row>
    <row r="59" customFormat="false" ht="15" hidden="false" customHeight="false" outlineLevel="0" collapsed="false">
      <c r="A59" s="83" t="str">
        <f aca="false">IF($L59="","",INDEX(Inv_Num,$L59))</f>
        <v/>
      </c>
      <c r="B59" s="67" t="str">
        <f aca="false">IF($L59="","",INDEX(Inv_Nom,$L59))</f>
        <v/>
      </c>
      <c r="C59" s="67" t="str">
        <f aca="false">IF($L59="","",T(INDEX(Inv_Action,$L59)))</f>
        <v/>
      </c>
      <c r="D59" s="83" t="str">
        <f aca="false">IF($L59="","",INDEX(Inv_Prio,$L59))</f>
        <v/>
      </c>
      <c r="E59" s="84" t="str">
        <f aca="false">IF($L59="","",INDEX(Inv_Res,$L59))</f>
        <v/>
      </c>
      <c r="F59" s="67" t="str">
        <f aca="false">IF($L59="","",T(INDEX(Inv_Pilote,$L59)))</f>
        <v/>
      </c>
      <c r="G59" s="85" t="str">
        <f aca="false">IF($L59="","",IF(INDEX(Inv_Ech,$L59)=0,"—",INDEX(Inv_Ech,$L59)))</f>
        <v/>
      </c>
      <c r="H59" s="86" t="str">
        <f aca="false">IF($L59="","",INDEX(Inv_Avc,$L59))</f>
        <v/>
      </c>
      <c r="I59" s="83" t="str">
        <f aca="false">IF($L59="","",T(INDEX(Inv_StatAct,$L59)))</f>
        <v/>
      </c>
      <c r="J59" s="87" t="str">
        <f aca="true">IF($L59="","",IF(OR(G59="—",I59="Clôturée"),"—",IF(G59&lt;TODAY(),TODAY()-G59,0)))</f>
        <v/>
      </c>
      <c r="L59" s="0" t="str">
        <f aca="false">IFERROR(SMALL(CleAct,54)-2,"")</f>
        <v/>
      </c>
    </row>
    <row r="60" customFormat="false" ht="15" hidden="false" customHeight="false" outlineLevel="0" collapsed="false">
      <c r="A60" s="83" t="str">
        <f aca="false">IF($L60="","",INDEX(Inv_Num,$L60))</f>
        <v/>
      </c>
      <c r="B60" s="67" t="str">
        <f aca="false">IF($L60="","",INDEX(Inv_Nom,$L60))</f>
        <v/>
      </c>
      <c r="C60" s="67" t="str">
        <f aca="false">IF($L60="","",T(INDEX(Inv_Action,$L60)))</f>
        <v/>
      </c>
      <c r="D60" s="83" t="str">
        <f aca="false">IF($L60="","",INDEX(Inv_Prio,$L60))</f>
        <v/>
      </c>
      <c r="E60" s="84" t="str">
        <f aca="false">IF($L60="","",INDEX(Inv_Res,$L60))</f>
        <v/>
      </c>
      <c r="F60" s="67" t="str">
        <f aca="false">IF($L60="","",T(INDEX(Inv_Pilote,$L60)))</f>
        <v/>
      </c>
      <c r="G60" s="85" t="str">
        <f aca="false">IF($L60="","",IF(INDEX(Inv_Ech,$L60)=0,"—",INDEX(Inv_Ech,$L60)))</f>
        <v/>
      </c>
      <c r="H60" s="86" t="str">
        <f aca="false">IF($L60="","",INDEX(Inv_Avc,$L60))</f>
        <v/>
      </c>
      <c r="I60" s="83" t="str">
        <f aca="false">IF($L60="","",T(INDEX(Inv_StatAct,$L60)))</f>
        <v/>
      </c>
      <c r="J60" s="87" t="str">
        <f aca="true">IF($L60="","",IF(OR(G60="—",I60="Clôturée"),"—",IF(G60&lt;TODAY(),TODAY()-G60,0)))</f>
        <v/>
      </c>
      <c r="L60" s="0" t="str">
        <f aca="false">IFERROR(SMALL(CleAct,55)-2,"")</f>
        <v/>
      </c>
    </row>
    <row r="61" customFormat="false" ht="15" hidden="false" customHeight="false" outlineLevel="0" collapsed="false">
      <c r="A61" s="83" t="str">
        <f aca="false">IF($L61="","",INDEX(Inv_Num,$L61))</f>
        <v/>
      </c>
      <c r="B61" s="67" t="str">
        <f aca="false">IF($L61="","",INDEX(Inv_Nom,$L61))</f>
        <v/>
      </c>
      <c r="C61" s="67" t="str">
        <f aca="false">IF($L61="","",T(INDEX(Inv_Action,$L61)))</f>
        <v/>
      </c>
      <c r="D61" s="83" t="str">
        <f aca="false">IF($L61="","",INDEX(Inv_Prio,$L61))</f>
        <v/>
      </c>
      <c r="E61" s="84" t="str">
        <f aca="false">IF($L61="","",INDEX(Inv_Res,$L61))</f>
        <v/>
      </c>
      <c r="F61" s="67" t="str">
        <f aca="false">IF($L61="","",T(INDEX(Inv_Pilote,$L61)))</f>
        <v/>
      </c>
      <c r="G61" s="85" t="str">
        <f aca="false">IF($L61="","",IF(INDEX(Inv_Ech,$L61)=0,"—",INDEX(Inv_Ech,$L61)))</f>
        <v/>
      </c>
      <c r="H61" s="86" t="str">
        <f aca="false">IF($L61="","",INDEX(Inv_Avc,$L61))</f>
        <v/>
      </c>
      <c r="I61" s="83" t="str">
        <f aca="false">IF($L61="","",T(INDEX(Inv_StatAct,$L61)))</f>
        <v/>
      </c>
      <c r="J61" s="87" t="str">
        <f aca="true">IF($L61="","",IF(OR(G61="—",I61="Clôturée"),"—",IF(G61&lt;TODAY(),TODAY()-G61,0)))</f>
        <v/>
      </c>
      <c r="L61" s="0" t="str">
        <f aca="false">IFERROR(SMALL(CleAct,56)-2,"")</f>
        <v/>
      </c>
    </row>
    <row r="62" customFormat="false" ht="15" hidden="false" customHeight="false" outlineLevel="0" collapsed="false">
      <c r="A62" s="83" t="str">
        <f aca="false">IF($L62="","",INDEX(Inv_Num,$L62))</f>
        <v/>
      </c>
      <c r="B62" s="67" t="str">
        <f aca="false">IF($L62="","",INDEX(Inv_Nom,$L62))</f>
        <v/>
      </c>
      <c r="C62" s="67" t="str">
        <f aca="false">IF($L62="","",T(INDEX(Inv_Action,$L62)))</f>
        <v/>
      </c>
      <c r="D62" s="83" t="str">
        <f aca="false">IF($L62="","",INDEX(Inv_Prio,$L62))</f>
        <v/>
      </c>
      <c r="E62" s="84" t="str">
        <f aca="false">IF($L62="","",INDEX(Inv_Res,$L62))</f>
        <v/>
      </c>
      <c r="F62" s="67" t="str">
        <f aca="false">IF($L62="","",T(INDEX(Inv_Pilote,$L62)))</f>
        <v/>
      </c>
      <c r="G62" s="85" t="str">
        <f aca="false">IF($L62="","",IF(INDEX(Inv_Ech,$L62)=0,"—",INDEX(Inv_Ech,$L62)))</f>
        <v/>
      </c>
      <c r="H62" s="86" t="str">
        <f aca="false">IF($L62="","",INDEX(Inv_Avc,$L62))</f>
        <v/>
      </c>
      <c r="I62" s="83" t="str">
        <f aca="false">IF($L62="","",T(INDEX(Inv_StatAct,$L62)))</f>
        <v/>
      </c>
      <c r="J62" s="87" t="str">
        <f aca="true">IF($L62="","",IF(OR(G62="—",I62="Clôturée"),"—",IF(G62&lt;TODAY(),TODAY()-G62,0)))</f>
        <v/>
      </c>
      <c r="L62" s="0" t="str">
        <f aca="false">IFERROR(SMALL(CleAct,57)-2,"")</f>
        <v/>
      </c>
    </row>
    <row r="63" customFormat="false" ht="15" hidden="false" customHeight="false" outlineLevel="0" collapsed="false">
      <c r="A63" s="83" t="str">
        <f aca="false">IF($L63="","",INDEX(Inv_Num,$L63))</f>
        <v/>
      </c>
      <c r="B63" s="67" t="str">
        <f aca="false">IF($L63="","",INDEX(Inv_Nom,$L63))</f>
        <v/>
      </c>
      <c r="C63" s="67" t="str">
        <f aca="false">IF($L63="","",T(INDEX(Inv_Action,$L63)))</f>
        <v/>
      </c>
      <c r="D63" s="83" t="str">
        <f aca="false">IF($L63="","",INDEX(Inv_Prio,$L63))</f>
        <v/>
      </c>
      <c r="E63" s="84" t="str">
        <f aca="false">IF($L63="","",INDEX(Inv_Res,$L63))</f>
        <v/>
      </c>
      <c r="F63" s="67" t="str">
        <f aca="false">IF($L63="","",T(INDEX(Inv_Pilote,$L63)))</f>
        <v/>
      </c>
      <c r="G63" s="85" t="str">
        <f aca="false">IF($L63="","",IF(INDEX(Inv_Ech,$L63)=0,"—",INDEX(Inv_Ech,$L63)))</f>
        <v/>
      </c>
      <c r="H63" s="86" t="str">
        <f aca="false">IF($L63="","",INDEX(Inv_Avc,$L63))</f>
        <v/>
      </c>
      <c r="I63" s="83" t="str">
        <f aca="false">IF($L63="","",T(INDEX(Inv_StatAct,$L63)))</f>
        <v/>
      </c>
      <c r="J63" s="87" t="str">
        <f aca="true">IF($L63="","",IF(OR(G63="—",I63="Clôturée"),"—",IF(G63&lt;TODAY(),TODAY()-G63,0)))</f>
        <v/>
      </c>
      <c r="L63" s="0" t="str">
        <f aca="false">IFERROR(SMALL(CleAct,58)-2,"")</f>
        <v/>
      </c>
    </row>
    <row r="64" customFormat="false" ht="15" hidden="false" customHeight="false" outlineLevel="0" collapsed="false">
      <c r="A64" s="83" t="str">
        <f aca="false">IF($L64="","",INDEX(Inv_Num,$L64))</f>
        <v/>
      </c>
      <c r="B64" s="67" t="str">
        <f aca="false">IF($L64="","",INDEX(Inv_Nom,$L64))</f>
        <v/>
      </c>
      <c r="C64" s="67" t="str">
        <f aca="false">IF($L64="","",T(INDEX(Inv_Action,$L64)))</f>
        <v/>
      </c>
      <c r="D64" s="83" t="str">
        <f aca="false">IF($L64="","",INDEX(Inv_Prio,$L64))</f>
        <v/>
      </c>
      <c r="E64" s="84" t="str">
        <f aca="false">IF($L64="","",INDEX(Inv_Res,$L64))</f>
        <v/>
      </c>
      <c r="F64" s="67" t="str">
        <f aca="false">IF($L64="","",T(INDEX(Inv_Pilote,$L64)))</f>
        <v/>
      </c>
      <c r="G64" s="85" t="str">
        <f aca="false">IF($L64="","",IF(INDEX(Inv_Ech,$L64)=0,"—",INDEX(Inv_Ech,$L64)))</f>
        <v/>
      </c>
      <c r="H64" s="86" t="str">
        <f aca="false">IF($L64="","",INDEX(Inv_Avc,$L64))</f>
        <v/>
      </c>
      <c r="I64" s="83" t="str">
        <f aca="false">IF($L64="","",T(INDEX(Inv_StatAct,$L64)))</f>
        <v/>
      </c>
      <c r="J64" s="87" t="str">
        <f aca="true">IF($L64="","",IF(OR(G64="—",I64="Clôturée"),"—",IF(G64&lt;TODAY(),TODAY()-G64,0)))</f>
        <v/>
      </c>
      <c r="L64" s="0" t="str">
        <f aca="false">IFERROR(SMALL(CleAct,59)-2,"")</f>
        <v/>
      </c>
    </row>
    <row r="65" customFormat="false" ht="15" hidden="false" customHeight="false" outlineLevel="0" collapsed="false">
      <c r="A65" s="83" t="str">
        <f aca="false">IF($L65="","",INDEX(Inv_Num,$L65))</f>
        <v/>
      </c>
      <c r="B65" s="67" t="str">
        <f aca="false">IF($L65="","",INDEX(Inv_Nom,$L65))</f>
        <v/>
      </c>
      <c r="C65" s="67" t="str">
        <f aca="false">IF($L65="","",T(INDEX(Inv_Action,$L65)))</f>
        <v/>
      </c>
      <c r="D65" s="83" t="str">
        <f aca="false">IF($L65="","",INDEX(Inv_Prio,$L65))</f>
        <v/>
      </c>
      <c r="E65" s="84" t="str">
        <f aca="false">IF($L65="","",INDEX(Inv_Res,$L65))</f>
        <v/>
      </c>
      <c r="F65" s="67" t="str">
        <f aca="false">IF($L65="","",T(INDEX(Inv_Pilote,$L65)))</f>
        <v/>
      </c>
      <c r="G65" s="85" t="str">
        <f aca="false">IF($L65="","",IF(INDEX(Inv_Ech,$L65)=0,"—",INDEX(Inv_Ech,$L65)))</f>
        <v/>
      </c>
      <c r="H65" s="86" t="str">
        <f aca="false">IF($L65="","",INDEX(Inv_Avc,$L65))</f>
        <v/>
      </c>
      <c r="I65" s="83" t="str">
        <f aca="false">IF($L65="","",T(INDEX(Inv_StatAct,$L65)))</f>
        <v/>
      </c>
      <c r="J65" s="87" t="str">
        <f aca="true">IF($L65="","",IF(OR(G65="—",I65="Clôturée"),"—",IF(G65&lt;TODAY(),TODAY()-G65,0)))</f>
        <v/>
      </c>
      <c r="L65" s="0" t="str">
        <f aca="false">IFERROR(SMALL(CleAct,60)-2,"")</f>
        <v/>
      </c>
    </row>
  </sheetData>
  <sheetProtection sheet="true" password="df18" formatCells="false" formatColumns="false" formatRows="false" insertRows="false" deleteRows="false" sort="false" autoFilter="false"/>
  <mergeCells count="6">
    <mergeCell ref="A1:J1"/>
    <mergeCell ref="A2:J2"/>
    <mergeCell ref="B3:C3"/>
    <mergeCell ref="E3:F3"/>
    <mergeCell ref="H3:I3"/>
    <mergeCell ref="A4:J4"/>
  </mergeCells>
  <conditionalFormatting sqref="J6:J65">
    <cfRule type="expression" priority="2" aboveAverage="0" equalAverage="0" bottom="0" percent="0" rank="0" text="" dxfId="26">
      <formula>AND(ISNUMBER(J6),J6&gt;0)</formula>
    </cfRule>
  </conditionalFormatting>
  <conditionalFormatting sqref="I6:I65">
    <cfRule type="cellIs" priority="3" operator="equal" aboveAverage="0" equalAverage="0" bottom="0" percent="0" rank="0" text="" dxfId="24">
      <formula>"Clôturée"</formula>
    </cfRule>
    <cfRule type="cellIs" priority="4" operator="equal" aboveAverage="0" equalAverage="0" bottom="0" percent="0" rank="0" text="" dxfId="31">
      <formula>"En cours"</formula>
    </cfRule>
    <cfRule type="cellIs" priority="5" operator="equal" aboveAverage="0" equalAverage="0" bottom="0" percent="0" rank="0" text="" dxfId="30">
      <formula>"À lancer"</formula>
    </cfRule>
    <cfRule type="cellIs" priority="6" operator="equal" aboveAverage="0" equalAverage="0" bottom="0" percent="0" rank="0" text="" dxfId="32">
      <formula>"En attente"</formula>
    </cfRule>
  </conditionalFormatting>
  <conditionalFormatting sqref="D6:D65">
    <cfRule type="cellIs" priority="7" operator="equal" aboveAverage="0" equalAverage="0" bottom="0" percent="0" rank="0" text="" dxfId="28">
      <formula>"P1 – Critique"</formula>
    </cfRule>
    <cfRule type="cellIs" priority="8" operator="equal" aboveAverage="0" equalAverage="0" bottom="0" percent="0" rank="0" text="" dxfId="29">
      <formula>"P2 – Élevée"</formula>
    </cfRule>
    <cfRule type="cellIs" priority="9" operator="equal" aboveAverage="0" equalAverage="0" bottom="0" percent="0" rank="0" text="" dxfId="30">
      <formula>"P3 – Modérée"</formula>
    </cfRule>
    <cfRule type="cellIs" priority="10" operator="equal" aboveAverage="0" equalAverage="0" bottom="0" percent="0" rank="0" text="" dxfId="24">
      <formula>"P4 – Faible"</formula>
    </cfRule>
  </conditionalFormatting>
  <conditionalFormatting sqref="H6:H65">
    <cfRule type="dataBar" priority="11">
      <dataBar showValue="1" minLength="10" maxLength="90">
        <cfvo type="num" val="0"/>
        <cfvo type="num" val="1"/>
        <color rgb="FF2E9E5B"/>
      </dataBar>
      <extLst>
        <ext xmlns:x14="http://schemas.microsoft.com/office/spreadsheetml/2009/9/main" uri="{B025F937-C7B1-47D3-B67F-A62EFF666E3E}">
          <x14:id>{A4D9402B-7397-47E4-BF25-8475B1D483E9}</x14:id>
        </ext>
      </extLst>
    </cfRule>
  </conditionalFormatting>
  <printOptions headings="false" gridLines="false" gridLinesSet="true" horizontalCentered="false" verticalCentered="false"/>
  <pageMargins left="0.75" right="0.75" top="1" bottom="1"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extLst>
    <ext xmlns:x14="http://schemas.microsoft.com/office/spreadsheetml/2009/9/main" uri="{78C0D931-6437-407d-A8EE-F0AAD7539E65}">
      <x14:conditionalFormattings>
        <x14:conditionalFormatting xmlns:xm="http://schemas.microsoft.com/office/excel/2006/main">
          <x14:cfRule type="dataBar" id="{A4D9402B-7397-47E4-BF25-8475B1D483E9}">
            <x14:dataBar minLength="10" maxLength="90" axisPosition="none" gradient="true">
              <x14:cfvo type="num">
                <xm:f>0</xm:f>
              </x14:cfvo>
              <x14:cfvo type="num">
                <xm:f>1</xm:f>
              </x14:cfvo>
              <x14:negativeFillColor rgb="FF2E9E5B"/>
              <x14:axisColor rgb="FF000000"/>
            </x14:dataBar>
          </x14:cfRule>
          <xm:sqref>H6:H65</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L3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30"/>
    <col collapsed="false" customWidth="true" hidden="false" outlineLevel="0" max="3" min="3" style="0" width="24"/>
    <col collapsed="false" customWidth="true" hidden="false" outlineLevel="0" max="4" min="4" style="0" width="15"/>
    <col collapsed="false" customWidth="true" hidden="false" outlineLevel="0" max="6" min="5" style="0" width="13"/>
    <col collapsed="false" customWidth="true" hidden="false" outlineLevel="0" max="8" min="7" style="0" width="12"/>
    <col collapsed="false" customWidth="true" hidden="false" outlineLevel="0" max="10" min="9" style="0" width="13"/>
    <col collapsed="false" customWidth="true" hidden="true" outlineLevel="0" max="12" min="12" style="0" width="13"/>
  </cols>
  <sheetData>
    <row r="1" customFormat="false" ht="25.5" hidden="false" customHeight="true" outlineLevel="0" collapsed="false">
      <c r="A1" s="58" t="s">
        <v>526</v>
      </c>
      <c r="B1" s="58"/>
      <c r="C1" s="58"/>
      <c r="D1" s="58"/>
      <c r="E1" s="58"/>
      <c r="F1" s="58"/>
      <c r="G1" s="58"/>
      <c r="H1" s="58"/>
      <c r="I1" s="58"/>
      <c r="J1" s="58"/>
    </row>
    <row r="2" customFormat="false" ht="15" hidden="false" customHeight="true" outlineLevel="0" collapsed="false">
      <c r="A2" s="5" t="s">
        <v>527</v>
      </c>
      <c r="B2" s="5"/>
      <c r="C2" s="5"/>
      <c r="D2" s="5"/>
      <c r="E2" s="5"/>
      <c r="F2" s="5"/>
      <c r="G2" s="5"/>
      <c r="H2" s="5"/>
      <c r="I2" s="5"/>
      <c r="J2" s="5"/>
    </row>
    <row r="3" customFormat="false" ht="15" hidden="false" customHeight="false" outlineLevel="0" collapsed="false">
      <c r="B3" s="77" t="s">
        <v>528</v>
      </c>
      <c r="C3" s="77"/>
      <c r="D3" s="78" t="n">
        <f aca="false">COUNTIF(Inv_StatutFDS,"EXPIRÉE")</f>
        <v>2</v>
      </c>
      <c r="E3" s="77" t="s">
        <v>529</v>
      </c>
      <c r="F3" s="77"/>
      <c r="G3" s="79" t="n">
        <f aca="false">COUNTIF(Inv_StatutFDS,"À RENOUVELER")</f>
        <v>2</v>
      </c>
      <c r="H3" s="77" t="s">
        <v>530</v>
      </c>
      <c r="I3" s="77"/>
      <c r="J3" s="78" t="n">
        <f aca="false">COUNTIF(Inv_StatutFDS,"FDS ABSENTE")</f>
        <v>2</v>
      </c>
    </row>
    <row r="4" customFormat="false" ht="19.4" hidden="false" customHeight="true" outlineLevel="0" collapsed="false">
      <c r="B4" s="77" t="s">
        <v>531</v>
      </c>
      <c r="C4" s="77"/>
      <c r="D4" s="89" t="n">
        <f aca="true">IFERROR(SMALL(Inv_ProchVerif,COUNTIF(Inv_ProchVerif,"&lt;"&amp;TODAY())+1),"—")</f>
        <v>46256</v>
      </c>
      <c r="E4" s="81" t="s">
        <v>532</v>
      </c>
      <c r="F4" s="81"/>
      <c r="G4" s="81"/>
      <c r="H4" s="81"/>
      <c r="I4" s="81"/>
      <c r="J4" s="81"/>
    </row>
    <row r="5" customFormat="false" ht="24" hidden="false" customHeight="true" outlineLevel="0" collapsed="false">
      <c r="A5" s="82" t="s">
        <v>112</v>
      </c>
      <c r="B5" s="82" t="s">
        <v>520</v>
      </c>
      <c r="C5" s="82" t="s">
        <v>118</v>
      </c>
      <c r="D5" s="82" t="s">
        <v>533</v>
      </c>
      <c r="E5" s="82" t="s">
        <v>145</v>
      </c>
      <c r="F5" s="82" t="s">
        <v>534</v>
      </c>
      <c r="G5" s="82" t="s">
        <v>535</v>
      </c>
      <c r="H5" s="82" t="s">
        <v>536</v>
      </c>
      <c r="I5" s="82" t="s">
        <v>537</v>
      </c>
      <c r="J5" s="82" t="s">
        <v>538</v>
      </c>
    </row>
    <row r="6" customFormat="false" ht="15" hidden="false" customHeight="false" outlineLevel="0" collapsed="false">
      <c r="A6" s="83" t="str">
        <f aca="false">IF($L6="","",INDEX(Inv_Num,$L6))</f>
        <v>PC-008</v>
      </c>
      <c r="B6" s="67" t="str">
        <f aca="false">IF($L6="","",INDEX(Inv_Nom,$L6))</f>
        <v>Acide sulfurique 96 %</v>
      </c>
      <c r="C6" s="67" t="str">
        <f aca="false">IF($L6="","",T(INDEX(Inv_Fourn,$L6)))</f>
        <v>ChimTun Distribution</v>
      </c>
      <c r="D6" s="83" t="str">
        <f aca="false">IF($L6="","",INDEX(Inv_StatutFDS,$L6))</f>
        <v>EXPIRÉE</v>
      </c>
      <c r="E6" s="85" t="n">
        <f aca="false">IF($L6="","",IF(INDEX(Inv_DateFDS,$L6)=0,"—",INDEX(Inv_DateFDS,$L6)))</f>
        <v>43976</v>
      </c>
      <c r="F6" s="85" t="n">
        <f aca="false">IF($L6="","",IF(INDEX(Inv_ProchVerif,$L6)="","—",INDEX(Inv_ProchVerif,$L6)))</f>
        <v>45802</v>
      </c>
      <c r="G6" s="87" t="n">
        <f aca="true">IF($L6="","",IF(OR(F6="—",F6=""),"—",F6-TODAY()))</f>
        <v>-422</v>
      </c>
      <c r="H6" s="83" t="str">
        <f aca="false">IF($L6="","",IF(AND(OR(D6="EXPIRÉE",D6="À RENOUVELER",D6="FDS ABSENTE"),J6="—"),"OUI","—"))</f>
        <v>OUI</v>
      </c>
      <c r="I6" s="85" t="n">
        <f aca="false">IF($L6="","",IF(INDEX(Inv_DemFDS,$L6)=0,"—",INDEX(Inv_DemFDS,$L6)))</f>
        <v>46204</v>
      </c>
      <c r="J6" s="85" t="str">
        <f aca="false">IF($L6="","",IF(INDEX(Inv_RecFDS,$L6)=0,"—",INDEX(Inv_RecFDS,$L6)))</f>
        <v>—</v>
      </c>
      <c r="L6" s="88" t="n">
        <f aca="false">IF(ROW()-5&gt;NbProduits,"",MATCH(SMALL(CleFDS,ROW()-5),CleFDS,0))</f>
        <v>8</v>
      </c>
    </row>
    <row r="7" customFormat="false" ht="15" hidden="false" customHeight="false" outlineLevel="0" collapsed="false">
      <c r="A7" s="83" t="str">
        <f aca="false">IF($L7="","",INDEX(Inv_Num,$L7))</f>
        <v>PC-014</v>
      </c>
      <c r="B7" s="67" t="str">
        <f aca="false">IF($L7="","",INDEX(Inv_Nom,$L7))</f>
        <v>Peinture antirouille solvantée</v>
      </c>
      <c r="C7" s="67" t="str">
        <f aca="false">IF($L7="","",T(INDEX(Inv_Fourn,$L7)))</f>
        <v>Solvants &amp; Peintures SARL</v>
      </c>
      <c r="D7" s="83" t="str">
        <f aca="false">IF($L7="","",INDEX(Inv_StatutFDS,$L7))</f>
        <v>EXPIRÉE</v>
      </c>
      <c r="E7" s="85" t="n">
        <f aca="false">IF($L7="","",IF(INDEX(Inv_DateFDS,$L7)=0,"—",INDEX(Inv_DateFDS,$L7)))</f>
        <v>44167</v>
      </c>
      <c r="F7" s="85" t="n">
        <f aca="false">IF($L7="","",IF(INDEX(Inv_ProchVerif,$L7)="","—",INDEX(Inv_ProchVerif,$L7)))</f>
        <v>45993</v>
      </c>
      <c r="G7" s="87" t="n">
        <f aca="true">IF($L7="","",IF(OR(F7="—",F7=""),"—",F7-TODAY()))</f>
        <v>-231</v>
      </c>
      <c r="H7" s="83" t="str">
        <f aca="false">IF($L7="","",IF(AND(OR(D7="EXPIRÉE",D7="À RENOUVELER",D7="FDS ABSENTE"),J7="—"),"OUI","—"))</f>
        <v>OUI</v>
      </c>
      <c r="I7" s="85" t="n">
        <f aca="false">IF($L7="","",IF(INDEX(Inv_DemFDS,$L7)=0,"—",INDEX(Inv_DemFDS,$L7)))</f>
        <v>46178</v>
      </c>
      <c r="J7" s="85" t="str">
        <f aca="false">IF($L7="","",IF(INDEX(Inv_RecFDS,$L7)=0,"—",INDEX(Inv_RecFDS,$L7)))</f>
        <v>—</v>
      </c>
      <c r="L7" s="88" t="n">
        <f aca="false">IF(ROW()-5&gt;NbProduits,"",MATCH(SMALL(CleFDS,ROW()-5),CleFDS,0))</f>
        <v>14</v>
      </c>
    </row>
    <row r="8" customFormat="false" ht="15" hidden="false" customHeight="false" outlineLevel="0" collapsed="false">
      <c r="A8" s="83" t="str">
        <f aca="false">IF($L8="","",INDEX(Inv_Num,$L8))</f>
        <v>PC-012</v>
      </c>
      <c r="B8" s="67" t="str">
        <f aca="false">IF($L8="","",INDEX(Inv_Nom,$L8))</f>
        <v>Émulseur AFFF 3 %</v>
      </c>
      <c r="C8" s="67" t="str">
        <f aca="false">IF($L8="","",T(INDEX(Inv_Fourn,$L8)))</f>
        <v>ProtecFeu Équipements</v>
      </c>
      <c r="D8" s="83" t="str">
        <f aca="false">IF($L8="","",INDEX(Inv_StatutFDS,$L8))</f>
        <v>À RENOUVELER</v>
      </c>
      <c r="E8" s="85" t="n">
        <f aca="false">IF($L8="","",IF(INDEX(Inv_DateFDS,$L8)=0,"—",INDEX(Inv_DateFDS,$L8)))</f>
        <v>44430</v>
      </c>
      <c r="F8" s="85" t="n">
        <f aca="false">IF($L8="","",IF(INDEX(Inv_ProchVerif,$L8)="","—",INDEX(Inv_ProchVerif,$L8)))</f>
        <v>46256</v>
      </c>
      <c r="G8" s="87" t="n">
        <f aca="true">IF($L8="","",IF(OR(F8="—",F8=""),"—",F8-TODAY()))</f>
        <v>32</v>
      </c>
      <c r="H8" s="83" t="str">
        <f aca="false">IF($L8="","",IF(AND(OR(D8="EXPIRÉE",D8="À RENOUVELER",D8="FDS ABSENTE"),J8="—"),"OUI","—"))</f>
        <v>OUI</v>
      </c>
      <c r="I8" s="85" t="n">
        <f aca="false">IF($L8="","",IF(INDEX(Inv_DemFDS,$L8)=0,"—",INDEX(Inv_DemFDS,$L8)))</f>
        <v>46218</v>
      </c>
      <c r="J8" s="85" t="str">
        <f aca="false">IF($L8="","",IF(INDEX(Inv_RecFDS,$L8)=0,"—",INDEX(Inv_RecFDS,$L8)))</f>
        <v>—</v>
      </c>
      <c r="L8" s="88" t="n">
        <f aca="false">IF(ROW()-5&gt;NbProduits,"",MATCH(SMALL(CleFDS,ROW()-5),CleFDS,0))</f>
        <v>12</v>
      </c>
    </row>
    <row r="9" customFormat="false" ht="15" hidden="false" customHeight="false" outlineLevel="0" collapsed="false">
      <c r="A9" s="83" t="str">
        <f aca="false">IF($L9="","",INDEX(Inv_Num,$L9))</f>
        <v>PC-003</v>
      </c>
      <c r="B9" s="67" t="str">
        <f aca="false">IF($L9="","",INDEX(Inv_Nom,$L9))</f>
        <v>White spirit</v>
      </c>
      <c r="C9" s="67" t="str">
        <f aca="false">IF($L9="","",T(INDEX(Inv_Fourn,$L9)))</f>
        <v>Solvants &amp; Peintures SARL</v>
      </c>
      <c r="D9" s="83" t="str">
        <f aca="false">IF($L9="","",INDEX(Inv_StatutFDS,$L9))</f>
        <v>À RENOUVELER</v>
      </c>
      <c r="E9" s="85" t="n">
        <f aca="false">IF($L9="","",IF(INDEX(Inv_DateFDS,$L9)=0,"—",INDEX(Inv_DateFDS,$L9)))</f>
        <v>44505</v>
      </c>
      <c r="F9" s="85" t="n">
        <f aca="false">IF($L9="","",IF(INDEX(Inv_ProchVerif,$L9)="","—",INDEX(Inv_ProchVerif,$L9)))</f>
        <v>46331</v>
      </c>
      <c r="G9" s="87" t="n">
        <f aca="true">IF($L9="","",IF(OR(F9="—",F9=""),"—",F9-TODAY()))</f>
        <v>107</v>
      </c>
      <c r="H9" s="83" t="str">
        <f aca="false">IF($L9="","",IF(AND(OR(D9="EXPIRÉE",D9="À RENOUVELER",D9="FDS ABSENTE"),J9="—"),"OUI","—"))</f>
        <v>OUI</v>
      </c>
      <c r="I9" s="85" t="str">
        <f aca="false">IF($L9="","",IF(INDEX(Inv_DemFDS,$L9)=0,"—",INDEX(Inv_DemFDS,$L9)))</f>
        <v>—</v>
      </c>
      <c r="J9" s="85" t="str">
        <f aca="false">IF($L9="","",IF(INDEX(Inv_RecFDS,$L9)=0,"—",INDEX(Inv_RecFDS,$L9)))</f>
        <v>—</v>
      </c>
      <c r="L9" s="88" t="n">
        <f aca="false">IF(ROW()-5&gt;NbProduits,"",MATCH(SMALL(CleFDS,ROW()-5),CleFDS,0))</f>
        <v>3</v>
      </c>
    </row>
    <row r="10" customFormat="false" ht="15" hidden="false" customHeight="false" outlineLevel="0" collapsed="false">
      <c r="A10" s="83" t="str">
        <f aca="false">IF($L10="","",INDEX(Inv_Num,$L10))</f>
        <v>PC-002</v>
      </c>
      <c r="B10" s="67" t="str">
        <f aca="false">IF($L10="","",INDEX(Inv_Nom,$L10))</f>
        <v>Soude caustique 30 %</v>
      </c>
      <c r="C10" s="67" t="str">
        <f aca="false">IF($L10="","",T(INDEX(Inv_Fourn,$L10)))</f>
        <v>ChimTun Distribution</v>
      </c>
      <c r="D10" s="83" t="str">
        <f aca="false">IF($L10="","",INDEX(Inv_StatutFDS,$L10))</f>
        <v>CONFORME</v>
      </c>
      <c r="E10" s="85" t="n">
        <f aca="false">IF($L10="","",IF(INDEX(Inv_DateFDS,$L10)=0,"—",INDEX(Inv_DateFDS,$L10)))</f>
        <v>44630</v>
      </c>
      <c r="F10" s="85" t="n">
        <f aca="false">IF($L10="","",IF(INDEX(Inv_ProchVerif,$L10)="","—",INDEX(Inv_ProchVerif,$L10)))</f>
        <v>46456</v>
      </c>
      <c r="G10" s="87" t="n">
        <f aca="true">IF($L10="","",IF(OR(F10="—",F10=""),"—",F10-TODAY()))</f>
        <v>232</v>
      </c>
      <c r="H10" s="83" t="str">
        <f aca="false">IF($L10="","",IF(AND(OR(D10="EXPIRÉE",D10="À RENOUVELER",D10="FDS ABSENTE"),J10="—"),"OUI","—"))</f>
        <v>—</v>
      </c>
      <c r="I10" s="85" t="str">
        <f aca="false">IF($L10="","",IF(INDEX(Inv_DemFDS,$L10)=0,"—",INDEX(Inv_DemFDS,$L10)))</f>
        <v>—</v>
      </c>
      <c r="J10" s="85" t="str">
        <f aca="false">IF($L10="","",IF(INDEX(Inv_RecFDS,$L10)=0,"—",INDEX(Inv_RecFDS,$L10)))</f>
        <v>—</v>
      </c>
      <c r="L10" s="88" t="n">
        <f aca="false">IF(ROW()-5&gt;NbProduits,"",MATCH(SMALL(CleFDS,ROW()-5),CleFDS,0))</f>
        <v>2</v>
      </c>
    </row>
    <row r="11" customFormat="false" ht="15" hidden="false" customHeight="false" outlineLevel="0" collapsed="false">
      <c r="A11" s="83" t="str">
        <f aca="false">IF($L11="","",INDEX(Inv_Num,$L11))</f>
        <v>PC-013</v>
      </c>
      <c r="B11" s="67" t="str">
        <f aca="false">IF($L11="","",INDEX(Inv_Nom,$L11))</f>
        <v>Dioxyde de carbone (bouteilles)</v>
      </c>
      <c r="C11" s="67" t="str">
        <f aca="false">IF($L11="","",T(INDEX(Inv_Fourn,$L11)))</f>
        <v>Gaz Industriels de Tunisie</v>
      </c>
      <c r="D11" s="83" t="str">
        <f aca="false">IF($L11="","",INDEX(Inv_StatutFDS,$L11))</f>
        <v>CONFORME</v>
      </c>
      <c r="E11" s="85" t="n">
        <f aca="false">IF($L11="","",IF(INDEX(Inv_DateFDS,$L11)=0,"—",INDEX(Inv_DateFDS,$L11)))</f>
        <v>44634</v>
      </c>
      <c r="F11" s="85" t="n">
        <f aca="false">IF($L11="","",IF(INDEX(Inv_ProchVerif,$L11)="","—",INDEX(Inv_ProchVerif,$L11)))</f>
        <v>46460</v>
      </c>
      <c r="G11" s="87" t="n">
        <f aca="true">IF($L11="","",IF(OR(F11="—",F11=""),"—",F11-TODAY()))</f>
        <v>236</v>
      </c>
      <c r="H11" s="83" t="str">
        <f aca="false">IF($L11="","",IF(AND(OR(D11="EXPIRÉE",D11="À RENOUVELER",D11="FDS ABSENTE"),J11="—"),"OUI","—"))</f>
        <v>—</v>
      </c>
      <c r="I11" s="85" t="str">
        <f aca="false">IF($L11="","",IF(INDEX(Inv_DemFDS,$L11)=0,"—",INDEX(Inv_DemFDS,$L11)))</f>
        <v>—</v>
      </c>
      <c r="J11" s="85" t="str">
        <f aca="false">IF($L11="","",IF(INDEX(Inv_RecFDS,$L11)=0,"—",INDEX(Inv_RecFDS,$L11)))</f>
        <v>—</v>
      </c>
      <c r="L11" s="88" t="n">
        <f aca="false">IF(ROW()-5&gt;NbProduits,"",MATCH(SMALL(CleFDS,ROW()-5),CleFDS,0))</f>
        <v>13</v>
      </c>
    </row>
    <row r="12" customFormat="false" ht="15" hidden="false" customHeight="false" outlineLevel="0" collapsed="false">
      <c r="A12" s="83" t="str">
        <f aca="false">IF($L12="","",INDEX(Inv_Num,$L12))</f>
        <v>PC-007</v>
      </c>
      <c r="B12" s="67" t="str">
        <f aca="false">IF($L12="","",INDEX(Inv_Nom,$L12))</f>
        <v>Azote liquide</v>
      </c>
      <c r="C12" s="67" t="str">
        <f aca="false">IF($L12="","",T(INDEX(Inv_Fourn,$L12)))</f>
        <v>Gaz Industriels de Tunisie</v>
      </c>
      <c r="D12" s="83" t="str">
        <f aca="false">IF($L12="","",INDEX(Inv_StatutFDS,$L12))</f>
        <v>CONFORME</v>
      </c>
      <c r="E12" s="85" t="n">
        <f aca="false">IF($L12="","",IF(INDEX(Inv_DateFDS,$L12)=0,"—",INDEX(Inv_DateFDS,$L12)))</f>
        <v>45019</v>
      </c>
      <c r="F12" s="85" t="n">
        <f aca="false">IF($L12="","",IF(INDEX(Inv_ProchVerif,$L12)="","—",INDEX(Inv_ProchVerif,$L12)))</f>
        <v>46846</v>
      </c>
      <c r="G12" s="87" t="n">
        <f aca="true">IF($L12="","",IF(OR(F12="—",F12=""),"—",F12-TODAY()))</f>
        <v>622</v>
      </c>
      <c r="H12" s="83" t="str">
        <f aca="false">IF($L12="","",IF(AND(OR(D12="EXPIRÉE",D12="À RENOUVELER",D12="FDS ABSENTE"),J12="—"),"OUI","—"))</f>
        <v>—</v>
      </c>
      <c r="I12" s="85" t="str">
        <f aca="false">IF($L12="","",IF(INDEX(Inv_DemFDS,$L12)=0,"—",INDEX(Inv_DemFDS,$L12)))</f>
        <v>—</v>
      </c>
      <c r="J12" s="85" t="str">
        <f aca="false">IF($L12="","",IF(INDEX(Inv_RecFDS,$L12)=0,"—",INDEX(Inv_RecFDS,$L12)))</f>
        <v>—</v>
      </c>
      <c r="L12" s="88" t="n">
        <f aca="false">IF(ROW()-5&gt;NbProduits,"",MATCH(SMALL(CleFDS,ROW()-5),CleFDS,0))</f>
        <v>7</v>
      </c>
    </row>
    <row r="13" customFormat="false" ht="15" hidden="false" customHeight="false" outlineLevel="0" collapsed="false">
      <c r="A13" s="83" t="str">
        <f aca="false">IF($L13="","",INDEX(Inv_Num,$L13))</f>
        <v>PC-004</v>
      </c>
      <c r="B13" s="67" t="str">
        <f aca="false">IF($L13="","",INDEX(Inv_Nom,$L13))</f>
        <v>Huile de coupe soluble</v>
      </c>
      <c r="C13" s="67" t="str">
        <f aca="false">IF($L13="","",T(INDEX(Inv_Fourn,$L13)))</f>
        <v>ChimTun Distribution</v>
      </c>
      <c r="D13" s="83" t="str">
        <f aca="false">IF($L13="","",INDEX(Inv_StatutFDS,$L13))</f>
        <v>CONFORME</v>
      </c>
      <c r="E13" s="85" t="n">
        <f aca="false">IF($L13="","",IF(INDEX(Inv_DateFDS,$L13)=0,"—",INDEX(Inv_DateFDS,$L13)))</f>
        <v>45097</v>
      </c>
      <c r="F13" s="85" t="n">
        <f aca="false">IF($L13="","",IF(INDEX(Inv_ProchVerif,$L13)="","—",INDEX(Inv_ProchVerif,$L13)))</f>
        <v>46924</v>
      </c>
      <c r="G13" s="87" t="n">
        <f aca="true">IF($L13="","",IF(OR(F13="—",F13=""),"—",F13-TODAY()))</f>
        <v>700</v>
      </c>
      <c r="H13" s="83" t="str">
        <f aca="false">IF($L13="","",IF(AND(OR(D13="EXPIRÉE",D13="À RENOUVELER",D13="FDS ABSENTE"),J13="—"),"OUI","—"))</f>
        <v>—</v>
      </c>
      <c r="I13" s="85" t="str">
        <f aca="false">IF($L13="","",IF(INDEX(Inv_DemFDS,$L13)=0,"—",INDEX(Inv_DemFDS,$L13)))</f>
        <v>—</v>
      </c>
      <c r="J13" s="85" t="str">
        <f aca="false">IF($L13="","",IF(INDEX(Inv_RecFDS,$L13)=0,"—",INDEX(Inv_RecFDS,$L13)))</f>
        <v>—</v>
      </c>
      <c r="L13" s="88" t="n">
        <f aca="false">IF(ROW()-5&gt;NbProduits,"",MATCH(SMALL(CleFDS,ROW()-5),CleFDS,0))</f>
        <v>4</v>
      </c>
    </row>
    <row r="14" customFormat="false" ht="15" hidden="false" customHeight="false" outlineLevel="0" collapsed="false">
      <c r="A14" s="83" t="str">
        <f aca="false">IF($L14="","",INDEX(Inv_Num,$L14))</f>
        <v>PC-017</v>
      </c>
      <c r="B14" s="67" t="str">
        <f aca="false">IF($L14="","",INDEX(Inv_Nom,$L14))</f>
        <v>Aérosol test détecteurs de fumée</v>
      </c>
      <c r="C14" s="67" t="str">
        <f aca="false">IF($L14="","",T(INDEX(Inv_Fourn,$L14)))</f>
        <v>ProtecFeu Équipements</v>
      </c>
      <c r="D14" s="83" t="str">
        <f aca="false">IF($L14="","",INDEX(Inv_StatutFDS,$L14))</f>
        <v>CONFORME</v>
      </c>
      <c r="E14" s="85" t="n">
        <f aca="false">IF($L14="","",IF(INDEX(Inv_DateFDS,$L14)=0,"—",INDEX(Inv_DateFDS,$L14)))</f>
        <v>45196</v>
      </c>
      <c r="F14" s="85" t="n">
        <f aca="false">IF($L14="","",IF(INDEX(Inv_ProchVerif,$L14)="","—",INDEX(Inv_ProchVerif,$L14)))</f>
        <v>47023</v>
      </c>
      <c r="G14" s="87" t="n">
        <f aca="true">IF($L14="","",IF(OR(F14="—",F14=""),"—",F14-TODAY()))</f>
        <v>799</v>
      </c>
      <c r="H14" s="83" t="str">
        <f aca="false">IF($L14="","",IF(AND(OR(D14="EXPIRÉE",D14="À RENOUVELER",D14="FDS ABSENTE"),J14="—"),"OUI","—"))</f>
        <v>—</v>
      </c>
      <c r="I14" s="85" t="str">
        <f aca="false">IF($L14="","",IF(INDEX(Inv_DemFDS,$L14)=0,"—",INDEX(Inv_DemFDS,$L14)))</f>
        <v>—</v>
      </c>
      <c r="J14" s="85" t="str">
        <f aca="false">IF($L14="","",IF(INDEX(Inv_RecFDS,$L14)=0,"—",INDEX(Inv_RecFDS,$L14)))</f>
        <v>—</v>
      </c>
      <c r="L14" s="88" t="n">
        <f aca="false">IF(ROW()-5&gt;NbProduits,"",MATCH(SMALL(CleFDS,ROW()-5),CleFDS,0))</f>
        <v>17</v>
      </c>
    </row>
    <row r="15" customFormat="false" ht="15" hidden="false" customHeight="false" outlineLevel="0" collapsed="false">
      <c r="A15" s="83" t="str">
        <f aca="false">IF($L15="","",INDEX(Inv_Num,$L15))</f>
        <v>PC-011</v>
      </c>
      <c r="B15" s="67" t="str">
        <f aca="false">IF($L15="","",INDEX(Inv_Nom,$L15))</f>
        <v>Poudre extinctrice ABC</v>
      </c>
      <c r="C15" s="67" t="str">
        <f aca="false">IF($L15="","",T(INDEX(Inv_Fourn,$L15)))</f>
        <v>ProtecFeu Équipements</v>
      </c>
      <c r="D15" s="83" t="str">
        <f aca="false">IF($L15="","",INDEX(Inv_StatutFDS,$L15))</f>
        <v>CONFORME</v>
      </c>
      <c r="E15" s="85" t="n">
        <f aca="false">IF($L15="","",IF(INDEX(Inv_DateFDS,$L15)=0,"—",INDEX(Inv_DateFDS,$L15)))</f>
        <v>45321</v>
      </c>
      <c r="F15" s="85" t="n">
        <f aca="false">IF($L15="","",IF(INDEX(Inv_ProchVerif,$L15)="","—",INDEX(Inv_ProchVerif,$L15)))</f>
        <v>47148</v>
      </c>
      <c r="G15" s="87" t="n">
        <f aca="true">IF($L15="","",IF(OR(F15="—",F15=""),"—",F15-TODAY()))</f>
        <v>924</v>
      </c>
      <c r="H15" s="83" t="str">
        <f aca="false">IF($L15="","",IF(AND(OR(D15="EXPIRÉE",D15="À RENOUVELER",D15="FDS ABSENTE"),J15="—"),"OUI","—"))</f>
        <v>—</v>
      </c>
      <c r="I15" s="85" t="str">
        <f aca="false">IF($L15="","",IF(INDEX(Inv_DemFDS,$L15)=0,"—",INDEX(Inv_DemFDS,$L15)))</f>
        <v>—</v>
      </c>
      <c r="J15" s="85" t="str">
        <f aca="false">IF($L15="","",IF(INDEX(Inv_RecFDS,$L15)=0,"—",INDEX(Inv_RecFDS,$L15)))</f>
        <v>—</v>
      </c>
      <c r="L15" s="88" t="n">
        <f aca="false">IF(ROW()-5&gt;NbProduits,"",MATCH(SMALL(CleFDS,ROW()-5),CleFDS,0))</f>
        <v>11</v>
      </c>
    </row>
    <row r="16" customFormat="false" ht="15" hidden="false" customHeight="false" outlineLevel="0" collapsed="false">
      <c r="A16" s="83" t="str">
        <f aca="false">IF($L16="","",INDEX(Inv_Num,$L16))</f>
        <v>PC-001</v>
      </c>
      <c r="B16" s="67" t="str">
        <f aca="false">IF($L16="","",INDEX(Inv_Nom,$L16))</f>
        <v>Acétone</v>
      </c>
      <c r="C16" s="67" t="str">
        <f aca="false">IF($L16="","",T(INDEX(Inv_Fourn,$L16)))</f>
        <v>Solvants &amp; Peintures SARL</v>
      </c>
      <c r="D16" s="83" t="str">
        <f aca="false">IF($L16="","",INDEX(Inv_StatutFDS,$L16))</f>
        <v>CONFORME</v>
      </c>
      <c r="E16" s="85" t="n">
        <f aca="false">IF($L16="","",IF(INDEX(Inv_DateFDS,$L16)=0,"—",INDEX(Inv_DateFDS,$L16)))</f>
        <v>45366</v>
      </c>
      <c r="F16" s="85" t="n">
        <f aca="false">IF($L16="","",IF(INDEX(Inv_ProchVerif,$L16)="","—",INDEX(Inv_ProchVerif,$L16)))</f>
        <v>47192</v>
      </c>
      <c r="G16" s="87" t="n">
        <f aca="true">IF($L16="","",IF(OR(F16="—",F16=""),"—",F16-TODAY()))</f>
        <v>968</v>
      </c>
      <c r="H16" s="83" t="str">
        <f aca="false">IF($L16="","",IF(AND(OR(D16="EXPIRÉE",D16="À RENOUVELER",D16="FDS ABSENTE"),J16="—"),"OUI","—"))</f>
        <v>—</v>
      </c>
      <c r="I16" s="85" t="str">
        <f aca="false">IF($L16="","",IF(INDEX(Inv_DemFDS,$L16)=0,"—",INDEX(Inv_DemFDS,$L16)))</f>
        <v>—</v>
      </c>
      <c r="J16" s="85" t="str">
        <f aca="false">IF($L16="","",IF(INDEX(Inv_RecFDS,$L16)=0,"—",INDEX(Inv_RecFDS,$L16)))</f>
        <v>—</v>
      </c>
      <c r="L16" s="88" t="n">
        <f aca="false">IF(ROW()-5&gt;NbProduits,"",MATCH(SMALL(CleFDS,ROW()-5),CleFDS,0))</f>
        <v>1</v>
      </c>
    </row>
    <row r="17" customFormat="false" ht="15" hidden="false" customHeight="false" outlineLevel="0" collapsed="false">
      <c r="A17" s="83" t="str">
        <f aca="false">IF($L17="","",INDEX(Inv_Num,$L17))</f>
        <v>PC-019</v>
      </c>
      <c r="B17" s="67" t="str">
        <f aca="false">IF($L17="","",INDEX(Inv_Nom,$L17))</f>
        <v>Trichloroéthylène</v>
      </c>
      <c r="C17" s="67" t="str">
        <f aca="false">IF($L17="","",T(INDEX(Inv_Fourn,$L17)))</f>
        <v>ChimTun Distribution</v>
      </c>
      <c r="D17" s="83" t="str">
        <f aca="false">IF($L17="","",INDEX(Inv_StatutFDS,$L17))</f>
        <v>CONFORME</v>
      </c>
      <c r="E17" s="85" t="n">
        <f aca="false">IF($L17="","",IF(INDEX(Inv_DateFDS,$L17)=0,"—",INDEX(Inv_DateFDS,$L17)))</f>
        <v>45401</v>
      </c>
      <c r="F17" s="85" t="n">
        <f aca="false">IF($L17="","",IF(INDEX(Inv_ProchVerif,$L17)="","—",INDEX(Inv_ProchVerif,$L17)))</f>
        <v>47227</v>
      </c>
      <c r="G17" s="87" t="n">
        <f aca="true">IF($L17="","",IF(OR(F17="—",F17=""),"—",F17-TODAY()))</f>
        <v>1003</v>
      </c>
      <c r="H17" s="83" t="str">
        <f aca="false">IF($L17="","",IF(AND(OR(D17="EXPIRÉE",D17="À RENOUVELER",D17="FDS ABSENTE"),J17="—"),"OUI","—"))</f>
        <v>—</v>
      </c>
      <c r="I17" s="85" t="str">
        <f aca="false">IF($L17="","",IF(INDEX(Inv_DemFDS,$L17)=0,"—",INDEX(Inv_DemFDS,$L17)))</f>
        <v>—</v>
      </c>
      <c r="J17" s="85" t="str">
        <f aca="false">IF($L17="","",IF(INDEX(Inv_RecFDS,$L17)=0,"—",INDEX(Inv_RecFDS,$L17)))</f>
        <v>—</v>
      </c>
      <c r="L17" s="88" t="n">
        <f aca="false">IF(ROW()-5&gt;NbProduits,"",MATCH(SMALL(CleFDS,ROW()-5),CleFDS,0))</f>
        <v>19</v>
      </c>
    </row>
    <row r="18" customFormat="false" ht="15" hidden="false" customHeight="false" outlineLevel="0" collapsed="false">
      <c r="A18" s="83" t="str">
        <f aca="false">IF($L18="","",INDEX(Inv_Num,$L18))</f>
        <v>PC-006</v>
      </c>
      <c r="B18" s="67" t="str">
        <f aca="false">IF($L18="","",INDEX(Inv_Nom,$L18))</f>
        <v>Résine époxy bi-composant</v>
      </c>
      <c r="C18" s="67" t="str">
        <f aca="false">IF($L18="","",T(INDEX(Inv_Fourn,$L18)))</f>
        <v>Solvants &amp; Peintures SARL</v>
      </c>
      <c r="D18" s="83" t="str">
        <f aca="false">IF($L18="","",INDEX(Inv_StatutFDS,$L18))</f>
        <v>CONFORME</v>
      </c>
      <c r="E18" s="85" t="n">
        <f aca="false">IF($L18="","",IF(INDEX(Inv_DateFDS,$L18)=0,"—",INDEX(Inv_DateFDS,$L18)))</f>
        <v>45543</v>
      </c>
      <c r="F18" s="85" t="n">
        <f aca="false">IF($L18="","",IF(INDEX(Inv_ProchVerif,$L18)="","—",INDEX(Inv_ProchVerif,$L18)))</f>
        <v>47369</v>
      </c>
      <c r="G18" s="87" t="n">
        <f aca="true">IF($L18="","",IF(OR(F18="—",F18=""),"—",F18-TODAY()))</f>
        <v>1145</v>
      </c>
      <c r="H18" s="83" t="str">
        <f aca="false">IF($L18="","",IF(AND(OR(D18="EXPIRÉE",D18="À RENOUVELER",D18="FDS ABSENTE"),J18="—"),"OUI","—"))</f>
        <v>—</v>
      </c>
      <c r="I18" s="85" t="str">
        <f aca="false">IF($L18="","",IF(INDEX(Inv_DemFDS,$L18)=0,"—",INDEX(Inv_DemFDS,$L18)))</f>
        <v>—</v>
      </c>
      <c r="J18" s="85" t="str">
        <f aca="false">IF($L18="","",IF(INDEX(Inv_RecFDS,$L18)=0,"—",INDEX(Inv_RecFDS,$L18)))</f>
        <v>—</v>
      </c>
      <c r="L18" s="88" t="n">
        <f aca="false">IF(ROW()-5&gt;NbProduits,"",MATCH(SMALL(CleFDS,ROW()-5),CleFDS,0))</f>
        <v>6</v>
      </c>
    </row>
    <row r="19" customFormat="false" ht="15" hidden="false" customHeight="false" outlineLevel="0" collapsed="false">
      <c r="A19" s="83" t="str">
        <f aca="false">IF($L19="","",INDEX(Inv_Num,$L19))</f>
        <v>PC-009</v>
      </c>
      <c r="B19" s="67" t="str">
        <f aca="false">IF($L19="","",INDEX(Inv_Nom,$L19))</f>
        <v>Mastic silicone neutre</v>
      </c>
      <c r="C19" s="67" t="str">
        <f aca="false">IF($L19="","",T(INDEX(Inv_Fourn,$L19)))</f>
        <v>ProtecFeu Équipements</v>
      </c>
      <c r="D19" s="83" t="str">
        <f aca="false">IF($L19="","",INDEX(Inv_StatutFDS,$L19))</f>
        <v>CONFORME</v>
      </c>
      <c r="E19" s="85" t="n">
        <f aca="false">IF($L19="","",IF(INDEX(Inv_DateFDS,$L19)=0,"—",INDEX(Inv_DateFDS,$L19)))</f>
        <v>45583</v>
      </c>
      <c r="F19" s="85" t="n">
        <f aca="false">IF($L19="","",IF(INDEX(Inv_ProchVerif,$L19)="","—",INDEX(Inv_ProchVerif,$L19)))</f>
        <v>47409</v>
      </c>
      <c r="G19" s="87" t="n">
        <f aca="true">IF($L19="","",IF(OR(F19="—",F19=""),"—",F19-TODAY()))</f>
        <v>1185</v>
      </c>
      <c r="H19" s="83" t="str">
        <f aca="false">IF($L19="","",IF(AND(OR(D19="EXPIRÉE",D19="À RENOUVELER",D19="FDS ABSENTE"),J19="—"),"OUI","—"))</f>
        <v>—</v>
      </c>
      <c r="I19" s="85" t="str">
        <f aca="false">IF($L19="","",IF(INDEX(Inv_DemFDS,$L19)=0,"—",INDEX(Inv_DemFDS,$L19)))</f>
        <v>—</v>
      </c>
      <c r="J19" s="85" t="str">
        <f aca="false">IF($L19="","",IF(INDEX(Inv_RecFDS,$L19)=0,"—",INDEX(Inv_RecFDS,$L19)))</f>
        <v>—</v>
      </c>
      <c r="L19" s="88" t="n">
        <f aca="false">IF(ROW()-5&gt;NbProduits,"",MATCH(SMALL(CleFDS,ROW()-5),CleFDS,0))</f>
        <v>9</v>
      </c>
    </row>
    <row r="20" customFormat="false" ht="15" hidden="false" customHeight="false" outlineLevel="0" collapsed="false">
      <c r="A20" s="83" t="str">
        <f aca="false">IF($L20="","",INDEX(Inv_Num,$L20))</f>
        <v>PC-020</v>
      </c>
      <c r="B20" s="67" t="str">
        <f aca="false">IF($L20="","",INDEX(Inv_Nom,$L20))</f>
        <v>Gazole (groupe électrogène)</v>
      </c>
      <c r="C20" s="67" t="str">
        <f aca="false">IF($L20="","",T(INDEX(Inv_Fourn,$L20)))</f>
        <v>PetroServices</v>
      </c>
      <c r="D20" s="83" t="str">
        <f aca="false">IF($L20="","",INDEX(Inv_StatutFDS,$L20))</f>
        <v>CONFORME</v>
      </c>
      <c r="E20" s="85" t="n">
        <f aca="false">IF($L20="","",IF(INDEX(Inv_DateFDS,$L20)=0,"—",INDEX(Inv_DateFDS,$L20)))</f>
        <v>45663</v>
      </c>
      <c r="F20" s="85" t="n">
        <f aca="false">IF($L20="","",IF(INDEX(Inv_ProchVerif,$L20)="","—",INDEX(Inv_ProchVerif,$L20)))</f>
        <v>47489</v>
      </c>
      <c r="G20" s="87" t="n">
        <f aca="true">IF($L20="","",IF(OR(F20="—",F20=""),"—",F20-TODAY()))</f>
        <v>1265</v>
      </c>
      <c r="H20" s="83" t="str">
        <f aca="false">IF($L20="","",IF(AND(OR(D20="EXPIRÉE",D20="À RENOUVELER",D20="FDS ABSENTE"),J20="—"),"OUI","—"))</f>
        <v>—</v>
      </c>
      <c r="I20" s="85" t="str">
        <f aca="false">IF($L20="","",IF(INDEX(Inv_DemFDS,$L20)=0,"—",INDEX(Inv_DemFDS,$L20)))</f>
        <v>—</v>
      </c>
      <c r="J20" s="85" t="str">
        <f aca="false">IF($L20="","",IF(INDEX(Inv_RecFDS,$L20)=0,"—",INDEX(Inv_RecFDS,$L20)))</f>
        <v>—</v>
      </c>
      <c r="L20" s="88" t="n">
        <f aca="false">IF(ROW()-5&gt;NbProduits,"",MATCH(SMALL(CleFDS,ROW()-5),CleFDS,0))</f>
        <v>20</v>
      </c>
    </row>
    <row r="21" customFormat="false" ht="15" hidden="false" customHeight="false" outlineLevel="0" collapsed="false">
      <c r="A21" s="83" t="str">
        <f aca="false">IF($L21="","",INDEX(Inv_Num,$L21))</f>
        <v>PC-005</v>
      </c>
      <c r="B21" s="67" t="str">
        <f aca="false">IF($L21="","",INDEX(Inv_Nom,$L21))</f>
        <v>Eau de Javel 9,6 %</v>
      </c>
      <c r="C21" s="67" t="str">
        <f aca="false">IF($L21="","",T(INDEX(Inv_Fourn,$L21)))</f>
        <v>ChimTun Distribution</v>
      </c>
      <c r="D21" s="83" t="str">
        <f aca="false">IF($L21="","",INDEX(Inv_StatutFDS,$L21))</f>
        <v>CONFORME</v>
      </c>
      <c r="E21" s="85" t="n">
        <f aca="false">IF($L21="","",IF(INDEX(Inv_DateFDS,$L21)=0,"—",INDEX(Inv_DateFDS,$L21)))</f>
        <v>45700</v>
      </c>
      <c r="F21" s="85" t="n">
        <f aca="false">IF($L21="","",IF(INDEX(Inv_ProchVerif,$L21)="","—",INDEX(Inv_ProchVerif,$L21)))</f>
        <v>47526</v>
      </c>
      <c r="G21" s="87" t="n">
        <f aca="true">IF($L21="","",IF(OR(F21="—",F21=""),"—",F21-TODAY()))</f>
        <v>1302</v>
      </c>
      <c r="H21" s="83" t="str">
        <f aca="false">IF($L21="","",IF(AND(OR(D21="EXPIRÉE",D21="À RENOUVELER",D21="FDS ABSENTE"),J21="—"),"OUI","—"))</f>
        <v>—</v>
      </c>
      <c r="I21" s="85" t="str">
        <f aca="false">IF($L21="","",IF(INDEX(Inv_DemFDS,$L21)=0,"—",INDEX(Inv_DemFDS,$L21)))</f>
        <v>—</v>
      </c>
      <c r="J21" s="85" t="str">
        <f aca="false">IF($L21="","",IF(INDEX(Inv_RecFDS,$L21)=0,"—",INDEX(Inv_RecFDS,$L21)))</f>
        <v>—</v>
      </c>
      <c r="L21" s="88" t="n">
        <f aca="false">IF(ROW()-5&gt;NbProduits,"",MATCH(SMALL(CleFDS,ROW()-5),CleFDS,0))</f>
        <v>5</v>
      </c>
    </row>
    <row r="22" customFormat="false" ht="15" hidden="false" customHeight="false" outlineLevel="0" collapsed="false">
      <c r="A22" s="83" t="str">
        <f aca="false">IF($L22="","",INDEX(Inv_Num,$L22))</f>
        <v>PC-016</v>
      </c>
      <c r="B22" s="67" t="str">
        <f aca="false">IF($L22="","",INDEX(Inv_Nom,$L22))</f>
        <v>Isopropanol (IPA)</v>
      </c>
      <c r="C22" s="67" t="str">
        <f aca="false">IF($L22="","",T(INDEX(Inv_Fourn,$L22)))</f>
        <v>Solvants &amp; Peintures SARL</v>
      </c>
      <c r="D22" s="83" t="str">
        <f aca="false">IF($L22="","",INDEX(Inv_StatutFDS,$L22))</f>
        <v>CONFORME</v>
      </c>
      <c r="E22" s="85" t="n">
        <f aca="false">IF($L22="","",IF(INDEX(Inv_DateFDS,$L22)=0,"—",INDEX(Inv_DateFDS,$L22)))</f>
        <v>45819</v>
      </c>
      <c r="F22" s="85" t="n">
        <f aca="false">IF($L22="","",IF(INDEX(Inv_ProchVerif,$L22)="","—",INDEX(Inv_ProchVerif,$L22)))</f>
        <v>47645</v>
      </c>
      <c r="G22" s="87" t="n">
        <f aca="true">IF($L22="","",IF(OR(F22="—",F22=""),"—",F22-TODAY()))</f>
        <v>1421</v>
      </c>
      <c r="H22" s="83" t="str">
        <f aca="false">IF($L22="","",IF(AND(OR(D22="EXPIRÉE",D22="À RENOUVELER",D22="FDS ABSENTE"),J22="—"),"OUI","—"))</f>
        <v>—</v>
      </c>
      <c r="I22" s="85" t="str">
        <f aca="false">IF($L22="","",IF(INDEX(Inv_DemFDS,$L22)=0,"—",INDEX(Inv_DemFDS,$L22)))</f>
        <v>—</v>
      </c>
      <c r="J22" s="85" t="str">
        <f aca="false">IF($L22="","",IF(INDEX(Inv_RecFDS,$L22)=0,"—",INDEX(Inv_RecFDS,$L22)))</f>
        <v>—</v>
      </c>
      <c r="L22" s="88" t="n">
        <f aca="false">IF(ROW()-5&gt;NbProduits,"",MATCH(SMALL(CleFDS,ROW()-5),CleFDS,0))</f>
        <v>16</v>
      </c>
    </row>
    <row r="23" customFormat="false" ht="15" hidden="false" customHeight="false" outlineLevel="0" collapsed="false">
      <c r="A23" s="83" t="str">
        <f aca="false">IF($L23="","",INDEX(Inv_Num,$L23))</f>
        <v>PC-015</v>
      </c>
      <c r="B23" s="67" t="str">
        <f aca="false">IF($L23="","",INDEX(Inv_Nom,$L23))</f>
        <v>Électrolyte batterie 37 %</v>
      </c>
      <c r="C23" s="67" t="str">
        <f aca="false">IF($L23="","",T(INDEX(Inv_Fourn,$L23)))</f>
        <v>ChimTun Distribution</v>
      </c>
      <c r="D23" s="83" t="str">
        <f aca="false">IF($L23="","",INDEX(Inv_StatutFDS,$L23))</f>
        <v>CONFORME</v>
      </c>
      <c r="E23" s="85" t="n">
        <f aca="false">IF($L23="","",IF(INDEX(Inv_DateFDS,$L23)=0,"—",INDEX(Inv_DateFDS,$L23)))</f>
        <v>45847</v>
      </c>
      <c r="F23" s="85" t="n">
        <f aca="false">IF($L23="","",IF(INDEX(Inv_ProchVerif,$L23)="","—",INDEX(Inv_ProchVerif,$L23)))</f>
        <v>47673</v>
      </c>
      <c r="G23" s="87" t="n">
        <f aca="true">IF($L23="","",IF(OR(F23="—",F23=""),"—",F23-TODAY()))</f>
        <v>1449</v>
      </c>
      <c r="H23" s="83" t="str">
        <f aca="false">IF($L23="","",IF(AND(OR(D23="EXPIRÉE",D23="À RENOUVELER",D23="FDS ABSENTE"),J23="—"),"OUI","—"))</f>
        <v>—</v>
      </c>
      <c r="I23" s="85" t="str">
        <f aca="false">IF($L23="","",IF(INDEX(Inv_DemFDS,$L23)=0,"—",INDEX(Inv_DemFDS,$L23)))</f>
        <v>—</v>
      </c>
      <c r="J23" s="85" t="str">
        <f aca="false">IF($L23="","",IF(INDEX(Inv_RecFDS,$L23)=0,"—",INDEX(Inv_RecFDS,$L23)))</f>
        <v>—</v>
      </c>
      <c r="L23" s="88" t="n">
        <f aca="false">IF(ROW()-5&gt;NbProduits,"",MATCH(SMALL(CleFDS,ROW()-5),CleFDS,0))</f>
        <v>15</v>
      </c>
    </row>
    <row r="24" customFormat="false" ht="15" hidden="false" customHeight="false" outlineLevel="0" collapsed="false">
      <c r="A24" s="83" t="str">
        <f aca="false">IF($L24="","",INDEX(Inv_Num,$L24))</f>
        <v>PC-010</v>
      </c>
      <c r="B24" s="67" t="str">
        <f aca="false">IF($L24="","",INDEX(Inv_Nom,$L24))</f>
        <v>Dégraissant solvanté DS-40</v>
      </c>
      <c r="C24" s="67" t="str">
        <f aca="false">IF($L24="","",T(INDEX(Inv_Fourn,$L24)))</f>
        <v>(à compléter)</v>
      </c>
      <c r="D24" s="83" t="str">
        <f aca="false">IF($L24="","",INDEX(Inv_StatutFDS,$L24))</f>
        <v>FDS ABSENTE</v>
      </c>
      <c r="E24" s="85" t="str">
        <f aca="false">IF($L24="","",IF(INDEX(Inv_DateFDS,$L24)=0,"—",INDEX(Inv_DateFDS,$L24)))</f>
        <v>—</v>
      </c>
      <c r="F24" s="85" t="str">
        <f aca="false">IF($L24="","",IF(INDEX(Inv_ProchVerif,$L24)="","—",INDEX(Inv_ProchVerif,$L24)))</f>
        <v>—</v>
      </c>
      <c r="G24" s="87" t="str">
        <f aca="true">IF($L24="","",IF(OR(F24="—",F24=""),"—",F24-TODAY()))</f>
        <v>—</v>
      </c>
      <c r="H24" s="83" t="str">
        <f aca="false">IF($L24="","",IF(AND(OR(D24="EXPIRÉE",D24="À RENOUVELER",D24="FDS ABSENTE"),J24="—"),"OUI","—"))</f>
        <v>OUI</v>
      </c>
      <c r="I24" s="85" t="n">
        <f aca="false">IF($L24="","",IF(INDEX(Inv_DemFDS,$L24)=0,"—",INDEX(Inv_DemFDS,$L24)))</f>
        <v>46213</v>
      </c>
      <c r="J24" s="85" t="str">
        <f aca="false">IF($L24="","",IF(INDEX(Inv_RecFDS,$L24)=0,"—",INDEX(Inv_RecFDS,$L24)))</f>
        <v>—</v>
      </c>
      <c r="L24" s="88" t="n">
        <f aca="false">IF(ROW()-5&gt;NbProduits,"",MATCH(SMALL(CleFDS,ROW()-5),CleFDS,0))</f>
        <v>10</v>
      </c>
    </row>
    <row r="25" customFormat="false" ht="15" hidden="false" customHeight="false" outlineLevel="0" collapsed="false">
      <c r="A25" s="83" t="str">
        <f aca="false">IF($L25="","",INDEX(Inv_Num,$L25))</f>
        <v>PC-018</v>
      </c>
      <c r="B25" s="67" t="str">
        <f aca="false">IF($L25="","",INDEX(Inv_Nom,$L25))</f>
        <v>Colle contact néoprène</v>
      </c>
      <c r="C25" s="67" t="str">
        <f aca="false">IF($L25="","",T(INDEX(Inv_Fourn,$L25)))</f>
        <v>(à compléter)</v>
      </c>
      <c r="D25" s="83" t="str">
        <f aca="false">IF($L25="","",INDEX(Inv_StatutFDS,$L25))</f>
        <v>FDS ABSENTE</v>
      </c>
      <c r="E25" s="85" t="str">
        <f aca="false">IF($L25="","",IF(INDEX(Inv_DateFDS,$L25)=0,"—",INDEX(Inv_DateFDS,$L25)))</f>
        <v>—</v>
      </c>
      <c r="F25" s="85" t="str">
        <f aca="false">IF($L25="","",IF(INDEX(Inv_ProchVerif,$L25)="","—",INDEX(Inv_ProchVerif,$L25)))</f>
        <v>—</v>
      </c>
      <c r="G25" s="87" t="str">
        <f aca="true">IF($L25="","",IF(OR(F25="—",F25=""),"—",F25-TODAY()))</f>
        <v>—</v>
      </c>
      <c r="H25" s="83" t="str">
        <f aca="false">IF($L25="","",IF(AND(OR(D25="EXPIRÉE",D25="À RENOUVELER",D25="FDS ABSENTE"),J25="—"),"OUI","—"))</f>
        <v>OUI</v>
      </c>
      <c r="I25" s="85" t="str">
        <f aca="false">IF($L25="","",IF(INDEX(Inv_DemFDS,$L25)=0,"—",INDEX(Inv_DemFDS,$L25)))</f>
        <v>—</v>
      </c>
      <c r="J25" s="85" t="str">
        <f aca="false">IF($L25="","",IF(INDEX(Inv_RecFDS,$L25)=0,"—",INDEX(Inv_RecFDS,$L25)))</f>
        <v>—</v>
      </c>
      <c r="L25" s="88" t="n">
        <f aca="false">IF(ROW()-5&gt;NbProduits,"",MATCH(SMALL(CleFDS,ROW()-5),CleFDS,0))</f>
        <v>18</v>
      </c>
    </row>
    <row r="26" customFormat="false" ht="15" hidden="false" customHeight="false" outlineLevel="0" collapsed="false">
      <c r="A26" s="83" t="str">
        <f aca="false">IF($L26="","",INDEX(Inv_Num,$L26))</f>
        <v/>
      </c>
      <c r="B26" s="67" t="str">
        <f aca="false">IF($L26="","",INDEX(Inv_Nom,$L26))</f>
        <v/>
      </c>
      <c r="C26" s="67" t="str">
        <f aca="false">IF($L26="","",T(INDEX(Inv_Fourn,$L26)))</f>
        <v/>
      </c>
      <c r="D26" s="83" t="str">
        <f aca="false">IF($L26="","",INDEX(Inv_StatutFDS,$L26))</f>
        <v/>
      </c>
      <c r="E26" s="85" t="str">
        <f aca="false">IF($L26="","",IF(INDEX(Inv_DateFDS,$L26)=0,"—",INDEX(Inv_DateFDS,$L26)))</f>
        <v/>
      </c>
      <c r="F26" s="85" t="str">
        <f aca="false">IF($L26="","",IF(INDEX(Inv_ProchVerif,$L26)="","—",INDEX(Inv_ProchVerif,$L26)))</f>
        <v/>
      </c>
      <c r="G26" s="87" t="str">
        <f aca="true">IF($L26="","",IF(OR(F26="—",F26=""),"—",F26-TODAY()))</f>
        <v/>
      </c>
      <c r="H26" s="83" t="str">
        <f aca="false">IF($L26="","",IF(AND(OR(D26="EXPIRÉE",D26="À RENOUVELER",D26="FDS ABSENTE"),J26="—"),"OUI","—"))</f>
        <v/>
      </c>
      <c r="I26" s="85" t="str">
        <f aca="false">IF($L26="","",IF(INDEX(Inv_DemFDS,$L26)=0,"—",INDEX(Inv_DemFDS,$L26)))</f>
        <v/>
      </c>
      <c r="J26" s="85" t="str">
        <f aca="false">IF($L26="","",IF(INDEX(Inv_RecFDS,$L26)=0,"—",INDEX(Inv_RecFDS,$L26)))</f>
        <v/>
      </c>
      <c r="L26" s="0" t="str">
        <f aca="false">IF(ROW()-5&gt;NbProduits,"",MATCH(SMALL(CleFDS,ROW()-5),CleFDS,0))</f>
        <v/>
      </c>
    </row>
    <row r="27" customFormat="false" ht="15" hidden="false" customHeight="false" outlineLevel="0" collapsed="false">
      <c r="A27" s="83" t="str">
        <f aca="false">IF($L27="","",INDEX(Inv_Num,$L27))</f>
        <v/>
      </c>
      <c r="B27" s="67" t="str">
        <f aca="false">IF($L27="","",INDEX(Inv_Nom,$L27))</f>
        <v/>
      </c>
      <c r="C27" s="67" t="str">
        <f aca="false">IF($L27="","",T(INDEX(Inv_Fourn,$L27)))</f>
        <v/>
      </c>
      <c r="D27" s="83" t="str">
        <f aca="false">IF($L27="","",INDEX(Inv_StatutFDS,$L27))</f>
        <v/>
      </c>
      <c r="E27" s="85" t="str">
        <f aca="false">IF($L27="","",IF(INDEX(Inv_DateFDS,$L27)=0,"—",INDEX(Inv_DateFDS,$L27)))</f>
        <v/>
      </c>
      <c r="F27" s="85" t="str">
        <f aca="false">IF($L27="","",IF(INDEX(Inv_ProchVerif,$L27)="","—",INDEX(Inv_ProchVerif,$L27)))</f>
        <v/>
      </c>
      <c r="G27" s="87" t="str">
        <f aca="true">IF($L27="","",IF(OR(F27="—",F27=""),"—",F27-TODAY()))</f>
        <v/>
      </c>
      <c r="H27" s="83" t="str">
        <f aca="false">IF($L27="","",IF(AND(OR(D27="EXPIRÉE",D27="À RENOUVELER",D27="FDS ABSENTE"),J27="—"),"OUI","—"))</f>
        <v/>
      </c>
      <c r="I27" s="85" t="str">
        <f aca="false">IF($L27="","",IF(INDEX(Inv_DemFDS,$L27)=0,"—",INDEX(Inv_DemFDS,$L27)))</f>
        <v/>
      </c>
      <c r="J27" s="85" t="str">
        <f aca="false">IF($L27="","",IF(INDEX(Inv_RecFDS,$L27)=0,"—",INDEX(Inv_RecFDS,$L27)))</f>
        <v/>
      </c>
      <c r="L27" s="0" t="str">
        <f aca="false">IF(ROW()-5&gt;NbProduits,"",MATCH(SMALL(CleFDS,ROW()-5),CleFDS,0))</f>
        <v/>
      </c>
    </row>
    <row r="28" customFormat="false" ht="15" hidden="false" customHeight="false" outlineLevel="0" collapsed="false">
      <c r="A28" s="83" t="str">
        <f aca="false">IF($L28="","",INDEX(Inv_Num,$L28))</f>
        <v/>
      </c>
      <c r="B28" s="67" t="str">
        <f aca="false">IF($L28="","",INDEX(Inv_Nom,$L28))</f>
        <v/>
      </c>
      <c r="C28" s="67" t="str">
        <f aca="false">IF($L28="","",T(INDEX(Inv_Fourn,$L28)))</f>
        <v/>
      </c>
      <c r="D28" s="83" t="str">
        <f aca="false">IF($L28="","",INDEX(Inv_StatutFDS,$L28))</f>
        <v/>
      </c>
      <c r="E28" s="85" t="str">
        <f aca="false">IF($L28="","",IF(INDEX(Inv_DateFDS,$L28)=0,"—",INDEX(Inv_DateFDS,$L28)))</f>
        <v/>
      </c>
      <c r="F28" s="85" t="str">
        <f aca="false">IF($L28="","",IF(INDEX(Inv_ProchVerif,$L28)="","—",INDEX(Inv_ProchVerif,$L28)))</f>
        <v/>
      </c>
      <c r="G28" s="87" t="str">
        <f aca="true">IF($L28="","",IF(OR(F28="—",F28=""),"—",F28-TODAY()))</f>
        <v/>
      </c>
      <c r="H28" s="83" t="str">
        <f aca="false">IF($L28="","",IF(AND(OR(D28="EXPIRÉE",D28="À RENOUVELER",D28="FDS ABSENTE"),J28="—"),"OUI","—"))</f>
        <v/>
      </c>
      <c r="I28" s="85" t="str">
        <f aca="false">IF($L28="","",IF(INDEX(Inv_DemFDS,$L28)=0,"—",INDEX(Inv_DemFDS,$L28)))</f>
        <v/>
      </c>
      <c r="J28" s="85" t="str">
        <f aca="false">IF($L28="","",IF(INDEX(Inv_RecFDS,$L28)=0,"—",INDEX(Inv_RecFDS,$L28)))</f>
        <v/>
      </c>
      <c r="L28" s="0" t="str">
        <f aca="false">IF(ROW()-5&gt;NbProduits,"",MATCH(SMALL(CleFDS,ROW()-5),CleFDS,0))</f>
        <v/>
      </c>
    </row>
    <row r="29" customFormat="false" ht="15" hidden="false" customHeight="false" outlineLevel="0" collapsed="false">
      <c r="A29" s="83" t="str">
        <f aca="false">IF($L29="","",INDEX(Inv_Num,$L29))</f>
        <v/>
      </c>
      <c r="B29" s="67" t="str">
        <f aca="false">IF($L29="","",INDEX(Inv_Nom,$L29))</f>
        <v/>
      </c>
      <c r="C29" s="67" t="str">
        <f aca="false">IF($L29="","",T(INDEX(Inv_Fourn,$L29)))</f>
        <v/>
      </c>
      <c r="D29" s="83" t="str">
        <f aca="false">IF($L29="","",INDEX(Inv_StatutFDS,$L29))</f>
        <v/>
      </c>
      <c r="E29" s="85" t="str">
        <f aca="false">IF($L29="","",IF(INDEX(Inv_DateFDS,$L29)=0,"—",INDEX(Inv_DateFDS,$L29)))</f>
        <v/>
      </c>
      <c r="F29" s="85" t="str">
        <f aca="false">IF($L29="","",IF(INDEX(Inv_ProchVerif,$L29)="","—",INDEX(Inv_ProchVerif,$L29)))</f>
        <v/>
      </c>
      <c r="G29" s="87" t="str">
        <f aca="true">IF($L29="","",IF(OR(F29="—",F29=""),"—",F29-TODAY()))</f>
        <v/>
      </c>
      <c r="H29" s="83" t="str">
        <f aca="false">IF($L29="","",IF(AND(OR(D29="EXPIRÉE",D29="À RENOUVELER",D29="FDS ABSENTE"),J29="—"),"OUI","—"))</f>
        <v/>
      </c>
      <c r="I29" s="85" t="str">
        <f aca="false">IF($L29="","",IF(INDEX(Inv_DemFDS,$L29)=0,"—",INDEX(Inv_DemFDS,$L29)))</f>
        <v/>
      </c>
      <c r="J29" s="85" t="str">
        <f aca="false">IF($L29="","",IF(INDEX(Inv_RecFDS,$L29)=0,"—",INDEX(Inv_RecFDS,$L29)))</f>
        <v/>
      </c>
      <c r="L29" s="0" t="str">
        <f aca="false">IF(ROW()-5&gt;NbProduits,"",MATCH(SMALL(CleFDS,ROW()-5),CleFDS,0))</f>
        <v/>
      </c>
    </row>
    <row r="30" customFormat="false" ht="15" hidden="false" customHeight="false" outlineLevel="0" collapsed="false">
      <c r="A30" s="83" t="str">
        <f aca="false">IF($L30="","",INDEX(Inv_Num,$L30))</f>
        <v/>
      </c>
      <c r="B30" s="67" t="str">
        <f aca="false">IF($L30="","",INDEX(Inv_Nom,$L30))</f>
        <v/>
      </c>
      <c r="C30" s="67" t="str">
        <f aca="false">IF($L30="","",T(INDEX(Inv_Fourn,$L30)))</f>
        <v/>
      </c>
      <c r="D30" s="83" t="str">
        <f aca="false">IF($L30="","",INDEX(Inv_StatutFDS,$L30))</f>
        <v/>
      </c>
      <c r="E30" s="85" t="str">
        <f aca="false">IF($L30="","",IF(INDEX(Inv_DateFDS,$L30)=0,"—",INDEX(Inv_DateFDS,$L30)))</f>
        <v/>
      </c>
      <c r="F30" s="85" t="str">
        <f aca="false">IF($L30="","",IF(INDEX(Inv_ProchVerif,$L30)="","—",INDEX(Inv_ProchVerif,$L30)))</f>
        <v/>
      </c>
      <c r="G30" s="87" t="str">
        <f aca="true">IF($L30="","",IF(OR(F30="—",F30=""),"—",F30-TODAY()))</f>
        <v/>
      </c>
      <c r="H30" s="83" t="str">
        <f aca="false">IF($L30="","",IF(AND(OR(D30="EXPIRÉE",D30="À RENOUVELER",D30="FDS ABSENTE"),J30="—"),"OUI","—"))</f>
        <v/>
      </c>
      <c r="I30" s="85" t="str">
        <f aca="false">IF($L30="","",IF(INDEX(Inv_DemFDS,$L30)=0,"—",INDEX(Inv_DemFDS,$L30)))</f>
        <v/>
      </c>
      <c r="J30" s="85" t="str">
        <f aca="false">IF($L30="","",IF(INDEX(Inv_RecFDS,$L30)=0,"—",INDEX(Inv_RecFDS,$L30)))</f>
        <v/>
      </c>
      <c r="L30" s="0" t="str">
        <f aca="false">IF(ROW()-5&gt;NbProduits,"",MATCH(SMALL(CleFDS,ROW()-5),CleFDS,0))</f>
        <v/>
      </c>
    </row>
    <row r="31" customFormat="false" ht="15" hidden="false" customHeight="false" outlineLevel="0" collapsed="false">
      <c r="A31" s="83" t="str">
        <f aca="false">IF($L31="","",INDEX(Inv_Num,$L31))</f>
        <v/>
      </c>
      <c r="B31" s="67" t="str">
        <f aca="false">IF($L31="","",INDEX(Inv_Nom,$L31))</f>
        <v/>
      </c>
      <c r="C31" s="67" t="str">
        <f aca="false">IF($L31="","",T(INDEX(Inv_Fourn,$L31)))</f>
        <v/>
      </c>
      <c r="D31" s="83" t="str">
        <f aca="false">IF($L31="","",INDEX(Inv_StatutFDS,$L31))</f>
        <v/>
      </c>
      <c r="E31" s="85" t="str">
        <f aca="false">IF($L31="","",IF(INDEX(Inv_DateFDS,$L31)=0,"—",INDEX(Inv_DateFDS,$L31)))</f>
        <v/>
      </c>
      <c r="F31" s="85" t="str">
        <f aca="false">IF($L31="","",IF(INDEX(Inv_ProchVerif,$L31)="","—",INDEX(Inv_ProchVerif,$L31)))</f>
        <v/>
      </c>
      <c r="G31" s="87" t="str">
        <f aca="true">IF($L31="","",IF(OR(F31="—",F31=""),"—",F31-TODAY()))</f>
        <v/>
      </c>
      <c r="H31" s="83" t="str">
        <f aca="false">IF($L31="","",IF(AND(OR(D31="EXPIRÉE",D31="À RENOUVELER",D31="FDS ABSENTE"),J31="—"),"OUI","—"))</f>
        <v/>
      </c>
      <c r="I31" s="85" t="str">
        <f aca="false">IF($L31="","",IF(INDEX(Inv_DemFDS,$L31)=0,"—",INDEX(Inv_DemFDS,$L31)))</f>
        <v/>
      </c>
      <c r="J31" s="85" t="str">
        <f aca="false">IF($L31="","",IF(INDEX(Inv_RecFDS,$L31)=0,"—",INDEX(Inv_RecFDS,$L31)))</f>
        <v/>
      </c>
      <c r="L31" s="0" t="str">
        <f aca="false">IF(ROW()-5&gt;NbProduits,"",MATCH(SMALL(CleFDS,ROW()-5),CleFDS,0))</f>
        <v/>
      </c>
    </row>
    <row r="32" customFormat="false" ht="15" hidden="false" customHeight="false" outlineLevel="0" collapsed="false">
      <c r="A32" s="83" t="str">
        <f aca="false">IF($L32="","",INDEX(Inv_Num,$L32))</f>
        <v/>
      </c>
      <c r="B32" s="67" t="str">
        <f aca="false">IF($L32="","",INDEX(Inv_Nom,$L32))</f>
        <v/>
      </c>
      <c r="C32" s="67" t="str">
        <f aca="false">IF($L32="","",T(INDEX(Inv_Fourn,$L32)))</f>
        <v/>
      </c>
      <c r="D32" s="83" t="str">
        <f aca="false">IF($L32="","",INDEX(Inv_StatutFDS,$L32))</f>
        <v/>
      </c>
      <c r="E32" s="85" t="str">
        <f aca="false">IF($L32="","",IF(INDEX(Inv_DateFDS,$L32)=0,"—",INDEX(Inv_DateFDS,$L32)))</f>
        <v/>
      </c>
      <c r="F32" s="85" t="str">
        <f aca="false">IF($L32="","",IF(INDEX(Inv_ProchVerif,$L32)="","—",INDEX(Inv_ProchVerif,$L32)))</f>
        <v/>
      </c>
      <c r="G32" s="87" t="str">
        <f aca="true">IF($L32="","",IF(OR(F32="—",F32=""),"—",F32-TODAY()))</f>
        <v/>
      </c>
      <c r="H32" s="83" t="str">
        <f aca="false">IF($L32="","",IF(AND(OR(D32="EXPIRÉE",D32="À RENOUVELER",D32="FDS ABSENTE"),J32="—"),"OUI","—"))</f>
        <v/>
      </c>
      <c r="I32" s="85" t="str">
        <f aca="false">IF($L32="","",IF(INDEX(Inv_DemFDS,$L32)=0,"—",INDEX(Inv_DemFDS,$L32)))</f>
        <v/>
      </c>
      <c r="J32" s="85" t="str">
        <f aca="false">IF($L32="","",IF(INDEX(Inv_RecFDS,$L32)=0,"—",INDEX(Inv_RecFDS,$L32)))</f>
        <v/>
      </c>
      <c r="L32" s="0" t="str">
        <f aca="false">IF(ROW()-5&gt;NbProduits,"",MATCH(SMALL(CleFDS,ROW()-5),CleFDS,0))</f>
        <v/>
      </c>
    </row>
    <row r="33" customFormat="false" ht="15" hidden="false" customHeight="false" outlineLevel="0" collapsed="false">
      <c r="A33" s="83" t="str">
        <f aca="false">IF($L33="","",INDEX(Inv_Num,$L33))</f>
        <v/>
      </c>
      <c r="B33" s="67" t="str">
        <f aca="false">IF($L33="","",INDEX(Inv_Nom,$L33))</f>
        <v/>
      </c>
      <c r="C33" s="67" t="str">
        <f aca="false">IF($L33="","",T(INDEX(Inv_Fourn,$L33)))</f>
        <v/>
      </c>
      <c r="D33" s="83" t="str">
        <f aca="false">IF($L33="","",INDEX(Inv_StatutFDS,$L33))</f>
        <v/>
      </c>
      <c r="E33" s="85" t="str">
        <f aca="false">IF($L33="","",IF(INDEX(Inv_DateFDS,$L33)=0,"—",INDEX(Inv_DateFDS,$L33)))</f>
        <v/>
      </c>
      <c r="F33" s="85" t="str">
        <f aca="false">IF($L33="","",IF(INDEX(Inv_ProchVerif,$L33)="","—",INDEX(Inv_ProchVerif,$L33)))</f>
        <v/>
      </c>
      <c r="G33" s="87" t="str">
        <f aca="true">IF($L33="","",IF(OR(F33="—",F33=""),"—",F33-TODAY()))</f>
        <v/>
      </c>
      <c r="H33" s="83" t="str">
        <f aca="false">IF($L33="","",IF(AND(OR(D33="EXPIRÉE",D33="À RENOUVELER",D33="FDS ABSENTE"),J33="—"),"OUI","—"))</f>
        <v/>
      </c>
      <c r="I33" s="85" t="str">
        <f aca="false">IF($L33="","",IF(INDEX(Inv_DemFDS,$L33)=0,"—",INDEX(Inv_DemFDS,$L33)))</f>
        <v/>
      </c>
      <c r="J33" s="85" t="str">
        <f aca="false">IF($L33="","",IF(INDEX(Inv_RecFDS,$L33)=0,"—",INDEX(Inv_RecFDS,$L33)))</f>
        <v/>
      </c>
      <c r="L33" s="0" t="str">
        <f aca="false">IF(ROW()-5&gt;NbProduits,"",MATCH(SMALL(CleFDS,ROW()-5),CleFDS,0))</f>
        <v/>
      </c>
    </row>
    <row r="34" customFormat="false" ht="15" hidden="false" customHeight="false" outlineLevel="0" collapsed="false">
      <c r="A34" s="83" t="str">
        <f aca="false">IF($L34="","",INDEX(Inv_Num,$L34))</f>
        <v/>
      </c>
      <c r="B34" s="67" t="str">
        <f aca="false">IF($L34="","",INDEX(Inv_Nom,$L34))</f>
        <v/>
      </c>
      <c r="C34" s="67" t="str">
        <f aca="false">IF($L34="","",T(INDEX(Inv_Fourn,$L34)))</f>
        <v/>
      </c>
      <c r="D34" s="83" t="str">
        <f aca="false">IF($L34="","",INDEX(Inv_StatutFDS,$L34))</f>
        <v/>
      </c>
      <c r="E34" s="85" t="str">
        <f aca="false">IF($L34="","",IF(INDEX(Inv_DateFDS,$L34)=0,"—",INDEX(Inv_DateFDS,$L34)))</f>
        <v/>
      </c>
      <c r="F34" s="85" t="str">
        <f aca="false">IF($L34="","",IF(INDEX(Inv_ProchVerif,$L34)="","—",INDEX(Inv_ProchVerif,$L34)))</f>
        <v/>
      </c>
      <c r="G34" s="87" t="str">
        <f aca="true">IF($L34="","",IF(OR(F34="—",F34=""),"—",F34-TODAY()))</f>
        <v/>
      </c>
      <c r="H34" s="83" t="str">
        <f aca="false">IF($L34="","",IF(AND(OR(D34="EXPIRÉE",D34="À RENOUVELER",D34="FDS ABSENTE"),J34="—"),"OUI","—"))</f>
        <v/>
      </c>
      <c r="I34" s="85" t="str">
        <f aca="false">IF($L34="","",IF(INDEX(Inv_DemFDS,$L34)=0,"—",INDEX(Inv_DemFDS,$L34)))</f>
        <v/>
      </c>
      <c r="J34" s="85" t="str">
        <f aca="false">IF($L34="","",IF(INDEX(Inv_RecFDS,$L34)=0,"—",INDEX(Inv_RecFDS,$L34)))</f>
        <v/>
      </c>
      <c r="L34" s="0" t="str">
        <f aca="false">IF(ROW()-5&gt;NbProduits,"",MATCH(SMALL(CleFDS,ROW()-5),CleFDS,0))</f>
        <v/>
      </c>
    </row>
    <row r="35" customFormat="false" ht="15" hidden="false" customHeight="false" outlineLevel="0" collapsed="false">
      <c r="A35" s="83" t="str">
        <f aca="false">IF($L35="","",INDEX(Inv_Num,$L35))</f>
        <v/>
      </c>
      <c r="B35" s="67" t="str">
        <f aca="false">IF($L35="","",INDEX(Inv_Nom,$L35))</f>
        <v/>
      </c>
      <c r="C35" s="67" t="str">
        <f aca="false">IF($L35="","",T(INDEX(Inv_Fourn,$L35)))</f>
        <v/>
      </c>
      <c r="D35" s="83" t="str">
        <f aca="false">IF($L35="","",INDEX(Inv_StatutFDS,$L35))</f>
        <v/>
      </c>
      <c r="E35" s="85" t="str">
        <f aca="false">IF($L35="","",IF(INDEX(Inv_DateFDS,$L35)=0,"—",INDEX(Inv_DateFDS,$L35)))</f>
        <v/>
      </c>
      <c r="F35" s="85" t="str">
        <f aca="false">IF($L35="","",IF(INDEX(Inv_ProchVerif,$L35)="","—",INDEX(Inv_ProchVerif,$L35)))</f>
        <v/>
      </c>
      <c r="G35" s="87" t="str">
        <f aca="true">IF($L35="","",IF(OR(F35="—",F35=""),"—",F35-TODAY()))</f>
        <v/>
      </c>
      <c r="H35" s="83" t="str">
        <f aca="false">IF($L35="","",IF(AND(OR(D35="EXPIRÉE",D35="À RENOUVELER",D35="FDS ABSENTE"),J35="—"),"OUI","—"))</f>
        <v/>
      </c>
      <c r="I35" s="85" t="str">
        <f aca="false">IF($L35="","",IF(INDEX(Inv_DemFDS,$L35)=0,"—",INDEX(Inv_DemFDS,$L35)))</f>
        <v/>
      </c>
      <c r="J35" s="85" t="str">
        <f aca="false">IF($L35="","",IF(INDEX(Inv_RecFDS,$L35)=0,"—",INDEX(Inv_RecFDS,$L35)))</f>
        <v/>
      </c>
      <c r="L35" s="0" t="str">
        <f aca="false">IF(ROW()-5&gt;NbProduits,"",MATCH(SMALL(CleFDS,ROW()-5),CleFDS,0))</f>
        <v/>
      </c>
    </row>
    <row r="36" customFormat="false" ht="15" hidden="false" customHeight="false" outlineLevel="0" collapsed="false">
      <c r="A36" s="83" t="str">
        <f aca="false">IF($L36="","",INDEX(Inv_Num,$L36))</f>
        <v/>
      </c>
      <c r="B36" s="67" t="str">
        <f aca="false">IF($L36="","",INDEX(Inv_Nom,$L36))</f>
        <v/>
      </c>
      <c r="C36" s="67" t="str">
        <f aca="false">IF($L36="","",T(INDEX(Inv_Fourn,$L36)))</f>
        <v/>
      </c>
      <c r="D36" s="83" t="str">
        <f aca="false">IF($L36="","",INDEX(Inv_StatutFDS,$L36))</f>
        <v/>
      </c>
      <c r="E36" s="85" t="str">
        <f aca="false">IF($L36="","",IF(INDEX(Inv_DateFDS,$L36)=0,"—",INDEX(Inv_DateFDS,$L36)))</f>
        <v/>
      </c>
      <c r="F36" s="85" t="str">
        <f aca="false">IF($L36="","",IF(INDEX(Inv_ProchVerif,$L36)="","—",INDEX(Inv_ProchVerif,$L36)))</f>
        <v/>
      </c>
      <c r="G36" s="87" t="str">
        <f aca="true">IF($L36="","",IF(OR(F36="—",F36=""),"—",F36-TODAY()))</f>
        <v/>
      </c>
      <c r="H36" s="83" t="str">
        <f aca="false">IF($L36="","",IF(AND(OR(D36="EXPIRÉE",D36="À RENOUVELER",D36="FDS ABSENTE"),J36="—"),"OUI","—"))</f>
        <v/>
      </c>
      <c r="I36" s="85" t="str">
        <f aca="false">IF($L36="","",IF(INDEX(Inv_DemFDS,$L36)=0,"—",INDEX(Inv_DemFDS,$L36)))</f>
        <v/>
      </c>
      <c r="J36" s="85" t="str">
        <f aca="false">IF($L36="","",IF(INDEX(Inv_RecFDS,$L36)=0,"—",INDEX(Inv_RecFDS,$L36)))</f>
        <v/>
      </c>
      <c r="L36" s="0" t="str">
        <f aca="false">IF(ROW()-5&gt;NbProduits,"",MATCH(SMALL(CleFDS,ROW()-5),CleFDS,0))</f>
        <v/>
      </c>
    </row>
    <row r="37" customFormat="false" ht="15" hidden="false" customHeight="false" outlineLevel="0" collapsed="false">
      <c r="A37" s="83" t="str">
        <f aca="false">IF($L37="","",INDEX(Inv_Num,$L37))</f>
        <v/>
      </c>
      <c r="B37" s="67" t="str">
        <f aca="false">IF($L37="","",INDEX(Inv_Nom,$L37))</f>
        <v/>
      </c>
      <c r="C37" s="67" t="str">
        <f aca="false">IF($L37="","",T(INDEX(Inv_Fourn,$L37)))</f>
        <v/>
      </c>
      <c r="D37" s="83" t="str">
        <f aca="false">IF($L37="","",INDEX(Inv_StatutFDS,$L37))</f>
        <v/>
      </c>
      <c r="E37" s="85" t="str">
        <f aca="false">IF($L37="","",IF(INDEX(Inv_DateFDS,$L37)=0,"—",INDEX(Inv_DateFDS,$L37)))</f>
        <v/>
      </c>
      <c r="F37" s="85" t="str">
        <f aca="false">IF($L37="","",IF(INDEX(Inv_ProchVerif,$L37)="","—",INDEX(Inv_ProchVerif,$L37)))</f>
        <v/>
      </c>
      <c r="G37" s="87" t="str">
        <f aca="true">IF($L37="","",IF(OR(F37="—",F37=""),"—",F37-TODAY()))</f>
        <v/>
      </c>
      <c r="H37" s="83" t="str">
        <f aca="false">IF($L37="","",IF(AND(OR(D37="EXPIRÉE",D37="À RENOUVELER",D37="FDS ABSENTE"),J37="—"),"OUI","—"))</f>
        <v/>
      </c>
      <c r="I37" s="85" t="str">
        <f aca="false">IF($L37="","",IF(INDEX(Inv_DemFDS,$L37)=0,"—",INDEX(Inv_DemFDS,$L37)))</f>
        <v/>
      </c>
      <c r="J37" s="85" t="str">
        <f aca="false">IF($L37="","",IF(INDEX(Inv_RecFDS,$L37)=0,"—",INDEX(Inv_RecFDS,$L37)))</f>
        <v/>
      </c>
      <c r="L37" s="0" t="str">
        <f aca="false">IF(ROW()-5&gt;NbProduits,"",MATCH(SMALL(CleFDS,ROW()-5),CleFDS,0))</f>
        <v/>
      </c>
    </row>
    <row r="38" customFormat="false" ht="15" hidden="false" customHeight="false" outlineLevel="0" collapsed="false">
      <c r="A38" s="83" t="str">
        <f aca="false">IF($L38="","",INDEX(Inv_Num,$L38))</f>
        <v/>
      </c>
      <c r="B38" s="67" t="str">
        <f aca="false">IF($L38="","",INDEX(Inv_Nom,$L38))</f>
        <v/>
      </c>
      <c r="C38" s="67" t="str">
        <f aca="false">IF($L38="","",T(INDEX(Inv_Fourn,$L38)))</f>
        <v/>
      </c>
      <c r="D38" s="83" t="str">
        <f aca="false">IF($L38="","",INDEX(Inv_StatutFDS,$L38))</f>
        <v/>
      </c>
      <c r="E38" s="85" t="str">
        <f aca="false">IF($L38="","",IF(INDEX(Inv_DateFDS,$L38)=0,"—",INDEX(Inv_DateFDS,$L38)))</f>
        <v/>
      </c>
      <c r="F38" s="85" t="str">
        <f aca="false">IF($L38="","",IF(INDEX(Inv_ProchVerif,$L38)="","—",INDEX(Inv_ProchVerif,$L38)))</f>
        <v/>
      </c>
      <c r="G38" s="87" t="str">
        <f aca="true">IF($L38="","",IF(OR(F38="—",F38=""),"—",F38-TODAY()))</f>
        <v/>
      </c>
      <c r="H38" s="83" t="str">
        <f aca="false">IF($L38="","",IF(AND(OR(D38="EXPIRÉE",D38="À RENOUVELER",D38="FDS ABSENTE"),J38="—"),"OUI","—"))</f>
        <v/>
      </c>
      <c r="I38" s="85" t="str">
        <f aca="false">IF($L38="","",IF(INDEX(Inv_DemFDS,$L38)=0,"—",INDEX(Inv_DemFDS,$L38)))</f>
        <v/>
      </c>
      <c r="J38" s="85" t="str">
        <f aca="false">IF($L38="","",IF(INDEX(Inv_RecFDS,$L38)=0,"—",INDEX(Inv_RecFDS,$L38)))</f>
        <v/>
      </c>
      <c r="L38" s="0" t="str">
        <f aca="false">IF(ROW()-5&gt;NbProduits,"",MATCH(SMALL(CleFDS,ROW()-5),CleFDS,0))</f>
        <v/>
      </c>
    </row>
    <row r="39" customFormat="false" ht="15" hidden="false" customHeight="false" outlineLevel="0" collapsed="false">
      <c r="A39" s="83" t="str">
        <f aca="false">IF($L39="","",INDEX(Inv_Num,$L39))</f>
        <v/>
      </c>
      <c r="B39" s="67" t="str">
        <f aca="false">IF($L39="","",INDEX(Inv_Nom,$L39))</f>
        <v/>
      </c>
      <c r="C39" s="67" t="str">
        <f aca="false">IF($L39="","",T(INDEX(Inv_Fourn,$L39)))</f>
        <v/>
      </c>
      <c r="D39" s="83" t="str">
        <f aca="false">IF($L39="","",INDEX(Inv_StatutFDS,$L39))</f>
        <v/>
      </c>
      <c r="E39" s="85" t="str">
        <f aca="false">IF($L39="","",IF(INDEX(Inv_DateFDS,$L39)=0,"—",INDEX(Inv_DateFDS,$L39)))</f>
        <v/>
      </c>
      <c r="F39" s="85" t="str">
        <f aca="false">IF($L39="","",IF(INDEX(Inv_ProchVerif,$L39)="","—",INDEX(Inv_ProchVerif,$L39)))</f>
        <v/>
      </c>
      <c r="G39" s="87" t="str">
        <f aca="true">IF($L39="","",IF(OR(F39="—",F39=""),"—",F39-TODAY()))</f>
        <v/>
      </c>
      <c r="H39" s="83" t="str">
        <f aca="false">IF($L39="","",IF(AND(OR(D39="EXPIRÉE",D39="À RENOUVELER",D39="FDS ABSENTE"),J39="—"),"OUI","—"))</f>
        <v/>
      </c>
      <c r="I39" s="85" t="str">
        <f aca="false">IF($L39="","",IF(INDEX(Inv_DemFDS,$L39)=0,"—",INDEX(Inv_DemFDS,$L39)))</f>
        <v/>
      </c>
      <c r="J39" s="85" t="str">
        <f aca="false">IF($L39="","",IF(INDEX(Inv_RecFDS,$L39)=0,"—",INDEX(Inv_RecFDS,$L39)))</f>
        <v/>
      </c>
      <c r="L39" s="0" t="str">
        <f aca="false">IF(ROW()-5&gt;NbProduits,"",MATCH(SMALL(CleFDS,ROW()-5),CleFDS,0))</f>
        <v/>
      </c>
    </row>
    <row r="40" customFormat="false" ht="15" hidden="false" customHeight="false" outlineLevel="0" collapsed="false">
      <c r="A40" s="83" t="str">
        <f aca="false">IF($L40="","",INDEX(Inv_Num,$L40))</f>
        <v/>
      </c>
      <c r="B40" s="67" t="str">
        <f aca="false">IF($L40="","",INDEX(Inv_Nom,$L40))</f>
        <v/>
      </c>
      <c r="C40" s="67" t="str">
        <f aca="false">IF($L40="","",T(INDEX(Inv_Fourn,$L40)))</f>
        <v/>
      </c>
      <c r="D40" s="83" t="str">
        <f aca="false">IF($L40="","",INDEX(Inv_StatutFDS,$L40))</f>
        <v/>
      </c>
      <c r="E40" s="85" t="str">
        <f aca="false">IF($L40="","",IF(INDEX(Inv_DateFDS,$L40)=0,"—",INDEX(Inv_DateFDS,$L40)))</f>
        <v/>
      </c>
      <c r="F40" s="85" t="str">
        <f aca="false">IF($L40="","",IF(INDEX(Inv_ProchVerif,$L40)="","—",INDEX(Inv_ProchVerif,$L40)))</f>
        <v/>
      </c>
      <c r="G40" s="87" t="str">
        <f aca="true">IF($L40="","",IF(OR(F40="—",F40=""),"—",F40-TODAY()))</f>
        <v/>
      </c>
      <c r="H40" s="83" t="str">
        <f aca="false">IF($L40="","",IF(AND(OR(D40="EXPIRÉE",D40="À RENOUVELER",D40="FDS ABSENTE"),J40="—"),"OUI","—"))</f>
        <v/>
      </c>
      <c r="I40" s="85" t="str">
        <f aca="false">IF($L40="","",IF(INDEX(Inv_DemFDS,$L40)=0,"—",INDEX(Inv_DemFDS,$L40)))</f>
        <v/>
      </c>
      <c r="J40" s="85" t="str">
        <f aca="false">IF($L40="","",IF(INDEX(Inv_RecFDS,$L40)=0,"—",INDEX(Inv_RecFDS,$L40)))</f>
        <v/>
      </c>
      <c r="L40" s="0" t="str">
        <f aca="false">IF(ROW()-5&gt;NbProduits,"",MATCH(SMALL(CleFDS,ROW()-5),CleFDS,0))</f>
        <v/>
      </c>
    </row>
    <row r="41" customFormat="false" ht="15" hidden="false" customHeight="false" outlineLevel="0" collapsed="false">
      <c r="A41" s="83" t="str">
        <f aca="false">IF($L41="","",INDEX(Inv_Num,$L41))</f>
        <v/>
      </c>
      <c r="B41" s="67" t="str">
        <f aca="false">IF($L41="","",INDEX(Inv_Nom,$L41))</f>
        <v/>
      </c>
      <c r="C41" s="67" t="str">
        <f aca="false">IF($L41="","",T(INDEX(Inv_Fourn,$L41)))</f>
        <v/>
      </c>
      <c r="D41" s="83" t="str">
        <f aca="false">IF($L41="","",INDEX(Inv_StatutFDS,$L41))</f>
        <v/>
      </c>
      <c r="E41" s="85" t="str">
        <f aca="false">IF($L41="","",IF(INDEX(Inv_DateFDS,$L41)=0,"—",INDEX(Inv_DateFDS,$L41)))</f>
        <v/>
      </c>
      <c r="F41" s="85" t="str">
        <f aca="false">IF($L41="","",IF(INDEX(Inv_ProchVerif,$L41)="","—",INDEX(Inv_ProchVerif,$L41)))</f>
        <v/>
      </c>
      <c r="G41" s="87" t="str">
        <f aca="true">IF($L41="","",IF(OR(F41="—",F41=""),"—",F41-TODAY()))</f>
        <v/>
      </c>
      <c r="H41" s="83" t="str">
        <f aca="false">IF($L41="","",IF(AND(OR(D41="EXPIRÉE",D41="À RENOUVELER",D41="FDS ABSENTE"),J41="—"),"OUI","—"))</f>
        <v/>
      </c>
      <c r="I41" s="85" t="str">
        <f aca="false">IF($L41="","",IF(INDEX(Inv_DemFDS,$L41)=0,"—",INDEX(Inv_DemFDS,$L41)))</f>
        <v/>
      </c>
      <c r="J41" s="85" t="str">
        <f aca="false">IF($L41="","",IF(INDEX(Inv_RecFDS,$L41)=0,"—",INDEX(Inv_RecFDS,$L41)))</f>
        <v/>
      </c>
      <c r="L41" s="0" t="str">
        <f aca="false">IF(ROW()-5&gt;NbProduits,"",MATCH(SMALL(CleFDS,ROW()-5),CleFDS,0))</f>
        <v/>
      </c>
    </row>
    <row r="42" customFormat="false" ht="15" hidden="false" customHeight="false" outlineLevel="0" collapsed="false">
      <c r="A42" s="83" t="str">
        <f aca="false">IF($L42="","",INDEX(Inv_Num,$L42))</f>
        <v/>
      </c>
      <c r="B42" s="67" t="str">
        <f aca="false">IF($L42="","",INDEX(Inv_Nom,$L42))</f>
        <v/>
      </c>
      <c r="C42" s="67" t="str">
        <f aca="false">IF($L42="","",T(INDEX(Inv_Fourn,$L42)))</f>
        <v/>
      </c>
      <c r="D42" s="83" t="str">
        <f aca="false">IF($L42="","",INDEX(Inv_StatutFDS,$L42))</f>
        <v/>
      </c>
      <c r="E42" s="85" t="str">
        <f aca="false">IF($L42="","",IF(INDEX(Inv_DateFDS,$L42)=0,"—",INDEX(Inv_DateFDS,$L42)))</f>
        <v/>
      </c>
      <c r="F42" s="85" t="str">
        <f aca="false">IF($L42="","",IF(INDEX(Inv_ProchVerif,$L42)="","—",INDEX(Inv_ProchVerif,$L42)))</f>
        <v/>
      </c>
      <c r="G42" s="87" t="str">
        <f aca="true">IF($L42="","",IF(OR(F42="—",F42=""),"—",F42-TODAY()))</f>
        <v/>
      </c>
      <c r="H42" s="83" t="str">
        <f aca="false">IF($L42="","",IF(AND(OR(D42="EXPIRÉE",D42="À RENOUVELER",D42="FDS ABSENTE"),J42="—"),"OUI","—"))</f>
        <v/>
      </c>
      <c r="I42" s="85" t="str">
        <f aca="false">IF($L42="","",IF(INDEX(Inv_DemFDS,$L42)=0,"—",INDEX(Inv_DemFDS,$L42)))</f>
        <v/>
      </c>
      <c r="J42" s="85" t="str">
        <f aca="false">IF($L42="","",IF(INDEX(Inv_RecFDS,$L42)=0,"—",INDEX(Inv_RecFDS,$L42)))</f>
        <v/>
      </c>
      <c r="L42" s="0" t="str">
        <f aca="false">IF(ROW()-5&gt;NbProduits,"",MATCH(SMALL(CleFDS,ROW()-5),CleFDS,0))</f>
        <v/>
      </c>
    </row>
    <row r="43" customFormat="false" ht="15" hidden="false" customHeight="false" outlineLevel="0" collapsed="false">
      <c r="A43" s="83" t="str">
        <f aca="false">IF($L43="","",INDEX(Inv_Num,$L43))</f>
        <v/>
      </c>
      <c r="B43" s="67" t="str">
        <f aca="false">IF($L43="","",INDEX(Inv_Nom,$L43))</f>
        <v/>
      </c>
      <c r="C43" s="67" t="str">
        <f aca="false">IF($L43="","",T(INDEX(Inv_Fourn,$L43)))</f>
        <v/>
      </c>
      <c r="D43" s="83" t="str">
        <f aca="false">IF($L43="","",INDEX(Inv_StatutFDS,$L43))</f>
        <v/>
      </c>
      <c r="E43" s="85" t="str">
        <f aca="false">IF($L43="","",IF(INDEX(Inv_DateFDS,$L43)=0,"—",INDEX(Inv_DateFDS,$L43)))</f>
        <v/>
      </c>
      <c r="F43" s="85" t="str">
        <f aca="false">IF($L43="","",IF(INDEX(Inv_ProchVerif,$L43)="","—",INDEX(Inv_ProchVerif,$L43)))</f>
        <v/>
      </c>
      <c r="G43" s="87" t="str">
        <f aca="true">IF($L43="","",IF(OR(F43="—",F43=""),"—",F43-TODAY()))</f>
        <v/>
      </c>
      <c r="H43" s="83" t="str">
        <f aca="false">IF($L43="","",IF(AND(OR(D43="EXPIRÉE",D43="À RENOUVELER",D43="FDS ABSENTE"),J43="—"),"OUI","—"))</f>
        <v/>
      </c>
      <c r="I43" s="85" t="str">
        <f aca="false">IF($L43="","",IF(INDEX(Inv_DemFDS,$L43)=0,"—",INDEX(Inv_DemFDS,$L43)))</f>
        <v/>
      </c>
      <c r="J43" s="85" t="str">
        <f aca="false">IF($L43="","",IF(INDEX(Inv_RecFDS,$L43)=0,"—",INDEX(Inv_RecFDS,$L43)))</f>
        <v/>
      </c>
      <c r="L43" s="0" t="str">
        <f aca="false">IF(ROW()-5&gt;NbProduits,"",MATCH(SMALL(CleFDS,ROW()-5),CleFDS,0))</f>
        <v/>
      </c>
    </row>
    <row r="44" customFormat="false" ht="15" hidden="false" customHeight="false" outlineLevel="0" collapsed="false">
      <c r="A44" s="83" t="str">
        <f aca="false">IF($L44="","",INDEX(Inv_Num,$L44))</f>
        <v/>
      </c>
      <c r="B44" s="67" t="str">
        <f aca="false">IF($L44="","",INDEX(Inv_Nom,$L44))</f>
        <v/>
      </c>
      <c r="C44" s="67" t="str">
        <f aca="false">IF($L44="","",T(INDEX(Inv_Fourn,$L44)))</f>
        <v/>
      </c>
      <c r="D44" s="83" t="str">
        <f aca="false">IF($L44="","",INDEX(Inv_StatutFDS,$L44))</f>
        <v/>
      </c>
      <c r="E44" s="85" t="str">
        <f aca="false">IF($L44="","",IF(INDEX(Inv_DateFDS,$L44)=0,"—",INDEX(Inv_DateFDS,$L44)))</f>
        <v/>
      </c>
      <c r="F44" s="85" t="str">
        <f aca="false">IF($L44="","",IF(INDEX(Inv_ProchVerif,$L44)="","—",INDEX(Inv_ProchVerif,$L44)))</f>
        <v/>
      </c>
      <c r="G44" s="87" t="str">
        <f aca="true">IF($L44="","",IF(OR(F44="—",F44=""),"—",F44-TODAY()))</f>
        <v/>
      </c>
      <c r="H44" s="83" t="str">
        <f aca="false">IF($L44="","",IF(AND(OR(D44="EXPIRÉE",D44="À RENOUVELER",D44="FDS ABSENTE"),J44="—"),"OUI","—"))</f>
        <v/>
      </c>
      <c r="I44" s="85" t="str">
        <f aca="false">IF($L44="","",IF(INDEX(Inv_DemFDS,$L44)=0,"—",INDEX(Inv_DemFDS,$L44)))</f>
        <v/>
      </c>
      <c r="J44" s="85" t="str">
        <f aca="false">IF($L44="","",IF(INDEX(Inv_RecFDS,$L44)=0,"—",INDEX(Inv_RecFDS,$L44)))</f>
        <v/>
      </c>
      <c r="L44" s="0" t="str">
        <f aca="false">IF(ROW()-5&gt;NbProduits,"",MATCH(SMALL(CleFDS,ROW()-5),CleFDS,0))</f>
        <v/>
      </c>
    </row>
    <row r="45" customFormat="false" ht="15" hidden="false" customHeight="false" outlineLevel="0" collapsed="false">
      <c r="A45" s="83" t="str">
        <f aca="false">IF($L45="","",INDEX(Inv_Num,$L45))</f>
        <v/>
      </c>
      <c r="B45" s="67" t="str">
        <f aca="false">IF($L45="","",INDEX(Inv_Nom,$L45))</f>
        <v/>
      </c>
      <c r="C45" s="67" t="str">
        <f aca="false">IF($L45="","",T(INDEX(Inv_Fourn,$L45)))</f>
        <v/>
      </c>
      <c r="D45" s="83" t="str">
        <f aca="false">IF($L45="","",INDEX(Inv_StatutFDS,$L45))</f>
        <v/>
      </c>
      <c r="E45" s="85" t="str">
        <f aca="false">IF($L45="","",IF(INDEX(Inv_DateFDS,$L45)=0,"—",INDEX(Inv_DateFDS,$L45)))</f>
        <v/>
      </c>
      <c r="F45" s="85" t="str">
        <f aca="false">IF($L45="","",IF(INDEX(Inv_ProchVerif,$L45)="","—",INDEX(Inv_ProchVerif,$L45)))</f>
        <v/>
      </c>
      <c r="G45" s="87" t="str">
        <f aca="true">IF($L45="","",IF(OR(F45="—",F45=""),"—",F45-TODAY()))</f>
        <v/>
      </c>
      <c r="H45" s="83" t="str">
        <f aca="false">IF($L45="","",IF(AND(OR(D45="EXPIRÉE",D45="À RENOUVELER",D45="FDS ABSENTE"),J45="—"),"OUI","—"))</f>
        <v/>
      </c>
      <c r="I45" s="85" t="str">
        <f aca="false">IF($L45="","",IF(INDEX(Inv_DemFDS,$L45)=0,"—",INDEX(Inv_DemFDS,$L45)))</f>
        <v/>
      </c>
      <c r="J45" s="85" t="str">
        <f aca="false">IF($L45="","",IF(INDEX(Inv_RecFDS,$L45)=0,"—",INDEX(Inv_RecFDS,$L45)))</f>
        <v/>
      </c>
      <c r="L45" s="0" t="str">
        <f aca="false">IF(ROW()-5&gt;NbProduits,"",MATCH(SMALL(CleFDS,ROW()-5),CleFDS,0))</f>
        <v/>
      </c>
    </row>
    <row r="46" customFormat="false" ht="15" hidden="false" customHeight="false" outlineLevel="0" collapsed="false">
      <c r="A46" s="83" t="str">
        <f aca="false">IF($L46="","",INDEX(Inv_Num,$L46))</f>
        <v/>
      </c>
      <c r="B46" s="67" t="str">
        <f aca="false">IF($L46="","",INDEX(Inv_Nom,$L46))</f>
        <v/>
      </c>
      <c r="C46" s="67" t="str">
        <f aca="false">IF($L46="","",T(INDEX(Inv_Fourn,$L46)))</f>
        <v/>
      </c>
      <c r="D46" s="83" t="str">
        <f aca="false">IF($L46="","",INDEX(Inv_StatutFDS,$L46))</f>
        <v/>
      </c>
      <c r="E46" s="85" t="str">
        <f aca="false">IF($L46="","",IF(INDEX(Inv_DateFDS,$L46)=0,"—",INDEX(Inv_DateFDS,$L46)))</f>
        <v/>
      </c>
      <c r="F46" s="85" t="str">
        <f aca="false">IF($L46="","",IF(INDEX(Inv_ProchVerif,$L46)="","—",INDEX(Inv_ProchVerif,$L46)))</f>
        <v/>
      </c>
      <c r="G46" s="87" t="str">
        <f aca="true">IF($L46="","",IF(OR(F46="—",F46=""),"—",F46-TODAY()))</f>
        <v/>
      </c>
      <c r="H46" s="83" t="str">
        <f aca="false">IF($L46="","",IF(AND(OR(D46="EXPIRÉE",D46="À RENOUVELER",D46="FDS ABSENTE"),J46="—"),"OUI","—"))</f>
        <v/>
      </c>
      <c r="I46" s="85" t="str">
        <f aca="false">IF($L46="","",IF(INDEX(Inv_DemFDS,$L46)=0,"—",INDEX(Inv_DemFDS,$L46)))</f>
        <v/>
      </c>
      <c r="J46" s="85" t="str">
        <f aca="false">IF($L46="","",IF(INDEX(Inv_RecFDS,$L46)=0,"—",INDEX(Inv_RecFDS,$L46)))</f>
        <v/>
      </c>
      <c r="L46" s="0" t="str">
        <f aca="false">IF(ROW()-5&gt;NbProduits,"",MATCH(SMALL(CleFDS,ROW()-5),CleFDS,0))</f>
        <v/>
      </c>
    </row>
    <row r="47" customFormat="false" ht="15" hidden="false" customHeight="false" outlineLevel="0" collapsed="false">
      <c r="A47" s="83" t="str">
        <f aca="false">IF($L47="","",INDEX(Inv_Num,$L47))</f>
        <v/>
      </c>
      <c r="B47" s="67" t="str">
        <f aca="false">IF($L47="","",INDEX(Inv_Nom,$L47))</f>
        <v/>
      </c>
      <c r="C47" s="67" t="str">
        <f aca="false">IF($L47="","",T(INDEX(Inv_Fourn,$L47)))</f>
        <v/>
      </c>
      <c r="D47" s="83" t="str">
        <f aca="false">IF($L47="","",INDEX(Inv_StatutFDS,$L47))</f>
        <v/>
      </c>
      <c r="E47" s="85" t="str">
        <f aca="false">IF($L47="","",IF(INDEX(Inv_DateFDS,$L47)=0,"—",INDEX(Inv_DateFDS,$L47)))</f>
        <v/>
      </c>
      <c r="F47" s="85" t="str">
        <f aca="false">IF($L47="","",IF(INDEX(Inv_ProchVerif,$L47)="","—",INDEX(Inv_ProchVerif,$L47)))</f>
        <v/>
      </c>
      <c r="G47" s="87" t="str">
        <f aca="true">IF($L47="","",IF(OR(F47="—",F47=""),"—",F47-TODAY()))</f>
        <v/>
      </c>
      <c r="H47" s="83" t="str">
        <f aca="false">IF($L47="","",IF(AND(OR(D47="EXPIRÉE",D47="À RENOUVELER",D47="FDS ABSENTE"),J47="—"),"OUI","—"))</f>
        <v/>
      </c>
      <c r="I47" s="85" t="str">
        <f aca="false">IF($L47="","",IF(INDEX(Inv_DemFDS,$L47)=0,"—",INDEX(Inv_DemFDS,$L47)))</f>
        <v/>
      </c>
      <c r="J47" s="85" t="str">
        <f aca="false">IF($L47="","",IF(INDEX(Inv_RecFDS,$L47)=0,"—",INDEX(Inv_RecFDS,$L47)))</f>
        <v/>
      </c>
      <c r="L47" s="0" t="str">
        <f aca="false">IF(ROW()-5&gt;NbProduits,"",MATCH(SMALL(CleFDS,ROW()-5),CleFDS,0))</f>
        <v/>
      </c>
    </row>
    <row r="48" customFormat="false" ht="15" hidden="false" customHeight="false" outlineLevel="0" collapsed="false">
      <c r="A48" s="83" t="str">
        <f aca="false">IF($L48="","",INDEX(Inv_Num,$L48))</f>
        <v/>
      </c>
      <c r="B48" s="67" t="str">
        <f aca="false">IF($L48="","",INDEX(Inv_Nom,$L48))</f>
        <v/>
      </c>
      <c r="C48" s="67" t="str">
        <f aca="false">IF($L48="","",T(INDEX(Inv_Fourn,$L48)))</f>
        <v/>
      </c>
      <c r="D48" s="83" t="str">
        <f aca="false">IF($L48="","",INDEX(Inv_StatutFDS,$L48))</f>
        <v/>
      </c>
      <c r="E48" s="85" t="str">
        <f aca="false">IF($L48="","",IF(INDEX(Inv_DateFDS,$L48)=0,"—",INDEX(Inv_DateFDS,$L48)))</f>
        <v/>
      </c>
      <c r="F48" s="85" t="str">
        <f aca="false">IF($L48="","",IF(INDEX(Inv_ProchVerif,$L48)="","—",INDEX(Inv_ProchVerif,$L48)))</f>
        <v/>
      </c>
      <c r="G48" s="87" t="str">
        <f aca="true">IF($L48="","",IF(OR(F48="—",F48=""),"—",F48-TODAY()))</f>
        <v/>
      </c>
      <c r="H48" s="83" t="str">
        <f aca="false">IF($L48="","",IF(AND(OR(D48="EXPIRÉE",D48="À RENOUVELER",D48="FDS ABSENTE"),J48="—"),"OUI","—"))</f>
        <v/>
      </c>
      <c r="I48" s="85" t="str">
        <f aca="false">IF($L48="","",IF(INDEX(Inv_DemFDS,$L48)=0,"—",INDEX(Inv_DemFDS,$L48)))</f>
        <v/>
      </c>
      <c r="J48" s="85" t="str">
        <f aca="false">IF($L48="","",IF(INDEX(Inv_RecFDS,$L48)=0,"—",INDEX(Inv_RecFDS,$L48)))</f>
        <v/>
      </c>
      <c r="L48" s="0" t="str">
        <f aca="false">IF(ROW()-5&gt;NbProduits,"",MATCH(SMALL(CleFDS,ROW()-5),CleFDS,0))</f>
        <v/>
      </c>
    </row>
    <row r="49" customFormat="false" ht="15" hidden="false" customHeight="false" outlineLevel="0" collapsed="false">
      <c r="A49" s="83" t="str">
        <f aca="false">IF($L49="","",INDEX(Inv_Num,$L49))</f>
        <v/>
      </c>
      <c r="B49" s="67" t="str">
        <f aca="false">IF($L49="","",INDEX(Inv_Nom,$L49))</f>
        <v/>
      </c>
      <c r="C49" s="67" t="str">
        <f aca="false">IF($L49="","",T(INDEX(Inv_Fourn,$L49)))</f>
        <v/>
      </c>
      <c r="D49" s="83" t="str">
        <f aca="false">IF($L49="","",INDEX(Inv_StatutFDS,$L49))</f>
        <v/>
      </c>
      <c r="E49" s="85" t="str">
        <f aca="false">IF($L49="","",IF(INDEX(Inv_DateFDS,$L49)=0,"—",INDEX(Inv_DateFDS,$L49)))</f>
        <v/>
      </c>
      <c r="F49" s="85" t="str">
        <f aca="false">IF($L49="","",IF(INDEX(Inv_ProchVerif,$L49)="","—",INDEX(Inv_ProchVerif,$L49)))</f>
        <v/>
      </c>
      <c r="G49" s="87" t="str">
        <f aca="true">IF($L49="","",IF(OR(F49="—",F49=""),"—",F49-TODAY()))</f>
        <v/>
      </c>
      <c r="H49" s="83" t="str">
        <f aca="false">IF($L49="","",IF(AND(OR(D49="EXPIRÉE",D49="À RENOUVELER",D49="FDS ABSENTE"),J49="—"),"OUI","—"))</f>
        <v/>
      </c>
      <c r="I49" s="85" t="str">
        <f aca="false">IF($L49="","",IF(INDEX(Inv_DemFDS,$L49)=0,"—",INDEX(Inv_DemFDS,$L49)))</f>
        <v/>
      </c>
      <c r="J49" s="85" t="str">
        <f aca="false">IF($L49="","",IF(INDEX(Inv_RecFDS,$L49)=0,"—",INDEX(Inv_RecFDS,$L49)))</f>
        <v/>
      </c>
      <c r="L49" s="0" t="str">
        <f aca="false">IF(ROW()-5&gt;NbProduits,"",MATCH(SMALL(CleFDS,ROW()-5),CleFDS,0))</f>
        <v/>
      </c>
    </row>
    <row r="50" customFormat="false" ht="15" hidden="false" customHeight="false" outlineLevel="0" collapsed="false">
      <c r="A50" s="83" t="str">
        <f aca="false">IF($L50="","",INDEX(Inv_Num,$L50))</f>
        <v/>
      </c>
      <c r="B50" s="67" t="str">
        <f aca="false">IF($L50="","",INDEX(Inv_Nom,$L50))</f>
        <v/>
      </c>
      <c r="C50" s="67" t="str">
        <f aca="false">IF($L50="","",T(INDEX(Inv_Fourn,$L50)))</f>
        <v/>
      </c>
      <c r="D50" s="83" t="str">
        <f aca="false">IF($L50="","",INDEX(Inv_StatutFDS,$L50))</f>
        <v/>
      </c>
      <c r="E50" s="85" t="str">
        <f aca="false">IF($L50="","",IF(INDEX(Inv_DateFDS,$L50)=0,"—",INDEX(Inv_DateFDS,$L50)))</f>
        <v/>
      </c>
      <c r="F50" s="85" t="str">
        <f aca="false">IF($L50="","",IF(INDEX(Inv_ProchVerif,$L50)="","—",INDEX(Inv_ProchVerif,$L50)))</f>
        <v/>
      </c>
      <c r="G50" s="87" t="str">
        <f aca="true">IF($L50="","",IF(OR(F50="—",F50=""),"—",F50-TODAY()))</f>
        <v/>
      </c>
      <c r="H50" s="83" t="str">
        <f aca="false">IF($L50="","",IF(AND(OR(D50="EXPIRÉE",D50="À RENOUVELER",D50="FDS ABSENTE"),J50="—"),"OUI","—"))</f>
        <v/>
      </c>
      <c r="I50" s="85" t="str">
        <f aca="false">IF($L50="","",IF(INDEX(Inv_DemFDS,$L50)=0,"—",INDEX(Inv_DemFDS,$L50)))</f>
        <v/>
      </c>
      <c r="J50" s="85" t="str">
        <f aca="false">IF($L50="","",IF(INDEX(Inv_RecFDS,$L50)=0,"—",INDEX(Inv_RecFDS,$L50)))</f>
        <v/>
      </c>
      <c r="L50" s="0" t="str">
        <f aca="false">IF(ROW()-5&gt;NbProduits,"",MATCH(SMALL(CleFDS,ROW()-5),CleFDS,0))</f>
        <v/>
      </c>
    </row>
    <row r="51" customFormat="false" ht="15" hidden="false" customHeight="false" outlineLevel="0" collapsed="false">
      <c r="A51" s="83" t="str">
        <f aca="false">IF($L51="","",INDEX(Inv_Num,$L51))</f>
        <v/>
      </c>
      <c r="B51" s="67" t="str">
        <f aca="false">IF($L51="","",INDEX(Inv_Nom,$L51))</f>
        <v/>
      </c>
      <c r="C51" s="67" t="str">
        <f aca="false">IF($L51="","",T(INDEX(Inv_Fourn,$L51)))</f>
        <v/>
      </c>
      <c r="D51" s="83" t="str">
        <f aca="false">IF($L51="","",INDEX(Inv_StatutFDS,$L51))</f>
        <v/>
      </c>
      <c r="E51" s="85" t="str">
        <f aca="false">IF($L51="","",IF(INDEX(Inv_DateFDS,$L51)=0,"—",INDEX(Inv_DateFDS,$L51)))</f>
        <v/>
      </c>
      <c r="F51" s="85" t="str">
        <f aca="false">IF($L51="","",IF(INDEX(Inv_ProchVerif,$L51)="","—",INDEX(Inv_ProchVerif,$L51)))</f>
        <v/>
      </c>
      <c r="G51" s="87" t="str">
        <f aca="true">IF($L51="","",IF(OR(F51="—",F51=""),"—",F51-TODAY()))</f>
        <v/>
      </c>
      <c r="H51" s="83" t="str">
        <f aca="false">IF($L51="","",IF(AND(OR(D51="EXPIRÉE",D51="À RENOUVELER",D51="FDS ABSENTE"),J51="—"),"OUI","—"))</f>
        <v/>
      </c>
      <c r="I51" s="85" t="str">
        <f aca="false">IF($L51="","",IF(INDEX(Inv_DemFDS,$L51)=0,"—",INDEX(Inv_DemFDS,$L51)))</f>
        <v/>
      </c>
      <c r="J51" s="85" t="str">
        <f aca="false">IF($L51="","",IF(INDEX(Inv_RecFDS,$L51)=0,"—",INDEX(Inv_RecFDS,$L51)))</f>
        <v/>
      </c>
      <c r="L51" s="0" t="str">
        <f aca="false">IF(ROW()-5&gt;NbProduits,"",MATCH(SMALL(CleFDS,ROW()-5),CleFDS,0))</f>
        <v/>
      </c>
    </row>
    <row r="52" customFormat="false" ht="15" hidden="false" customHeight="false" outlineLevel="0" collapsed="false">
      <c r="A52" s="83" t="str">
        <f aca="false">IF($L52="","",INDEX(Inv_Num,$L52))</f>
        <v/>
      </c>
      <c r="B52" s="67" t="str">
        <f aca="false">IF($L52="","",INDEX(Inv_Nom,$L52))</f>
        <v/>
      </c>
      <c r="C52" s="67" t="str">
        <f aca="false">IF($L52="","",T(INDEX(Inv_Fourn,$L52)))</f>
        <v/>
      </c>
      <c r="D52" s="83" t="str">
        <f aca="false">IF($L52="","",INDEX(Inv_StatutFDS,$L52))</f>
        <v/>
      </c>
      <c r="E52" s="85" t="str">
        <f aca="false">IF($L52="","",IF(INDEX(Inv_DateFDS,$L52)=0,"—",INDEX(Inv_DateFDS,$L52)))</f>
        <v/>
      </c>
      <c r="F52" s="85" t="str">
        <f aca="false">IF($L52="","",IF(INDEX(Inv_ProchVerif,$L52)="","—",INDEX(Inv_ProchVerif,$L52)))</f>
        <v/>
      </c>
      <c r="G52" s="87" t="str">
        <f aca="true">IF($L52="","",IF(OR(F52="—",F52=""),"—",F52-TODAY()))</f>
        <v/>
      </c>
      <c r="H52" s="83" t="str">
        <f aca="false">IF($L52="","",IF(AND(OR(D52="EXPIRÉE",D52="À RENOUVELER",D52="FDS ABSENTE"),J52="—"),"OUI","—"))</f>
        <v/>
      </c>
      <c r="I52" s="85" t="str">
        <f aca="false">IF($L52="","",IF(INDEX(Inv_DemFDS,$L52)=0,"—",INDEX(Inv_DemFDS,$L52)))</f>
        <v/>
      </c>
      <c r="J52" s="85" t="str">
        <f aca="false">IF($L52="","",IF(INDEX(Inv_RecFDS,$L52)=0,"—",INDEX(Inv_RecFDS,$L52)))</f>
        <v/>
      </c>
      <c r="L52" s="0" t="str">
        <f aca="false">IF(ROW()-5&gt;NbProduits,"",MATCH(SMALL(CleFDS,ROW()-5),CleFDS,0))</f>
        <v/>
      </c>
    </row>
    <row r="53" customFormat="false" ht="15" hidden="false" customHeight="false" outlineLevel="0" collapsed="false">
      <c r="A53" s="83" t="str">
        <f aca="false">IF($L53="","",INDEX(Inv_Num,$L53))</f>
        <v/>
      </c>
      <c r="B53" s="67" t="str">
        <f aca="false">IF($L53="","",INDEX(Inv_Nom,$L53))</f>
        <v/>
      </c>
      <c r="C53" s="67" t="str">
        <f aca="false">IF($L53="","",T(INDEX(Inv_Fourn,$L53)))</f>
        <v/>
      </c>
      <c r="D53" s="83" t="str">
        <f aca="false">IF($L53="","",INDEX(Inv_StatutFDS,$L53))</f>
        <v/>
      </c>
      <c r="E53" s="85" t="str">
        <f aca="false">IF($L53="","",IF(INDEX(Inv_DateFDS,$L53)=0,"—",INDEX(Inv_DateFDS,$L53)))</f>
        <v/>
      </c>
      <c r="F53" s="85" t="str">
        <f aca="false">IF($L53="","",IF(INDEX(Inv_ProchVerif,$L53)="","—",INDEX(Inv_ProchVerif,$L53)))</f>
        <v/>
      </c>
      <c r="G53" s="87" t="str">
        <f aca="true">IF($L53="","",IF(OR(F53="—",F53=""),"—",F53-TODAY()))</f>
        <v/>
      </c>
      <c r="H53" s="83" t="str">
        <f aca="false">IF($L53="","",IF(AND(OR(D53="EXPIRÉE",D53="À RENOUVELER",D53="FDS ABSENTE"),J53="—"),"OUI","—"))</f>
        <v/>
      </c>
      <c r="I53" s="85" t="str">
        <f aca="false">IF($L53="","",IF(INDEX(Inv_DemFDS,$L53)=0,"—",INDEX(Inv_DemFDS,$L53)))</f>
        <v/>
      </c>
      <c r="J53" s="85" t="str">
        <f aca="false">IF($L53="","",IF(INDEX(Inv_RecFDS,$L53)=0,"—",INDEX(Inv_RecFDS,$L53)))</f>
        <v/>
      </c>
      <c r="L53" s="0" t="str">
        <f aca="false">IF(ROW()-5&gt;NbProduits,"",MATCH(SMALL(CleFDS,ROW()-5),CleFDS,0))</f>
        <v/>
      </c>
    </row>
    <row r="54" customFormat="false" ht="15" hidden="false" customHeight="false" outlineLevel="0" collapsed="false">
      <c r="A54" s="83" t="str">
        <f aca="false">IF($L54="","",INDEX(Inv_Num,$L54))</f>
        <v/>
      </c>
      <c r="B54" s="67" t="str">
        <f aca="false">IF($L54="","",INDEX(Inv_Nom,$L54))</f>
        <v/>
      </c>
      <c r="C54" s="67" t="str">
        <f aca="false">IF($L54="","",T(INDEX(Inv_Fourn,$L54)))</f>
        <v/>
      </c>
      <c r="D54" s="83" t="str">
        <f aca="false">IF($L54="","",INDEX(Inv_StatutFDS,$L54))</f>
        <v/>
      </c>
      <c r="E54" s="85" t="str">
        <f aca="false">IF($L54="","",IF(INDEX(Inv_DateFDS,$L54)=0,"—",INDEX(Inv_DateFDS,$L54)))</f>
        <v/>
      </c>
      <c r="F54" s="85" t="str">
        <f aca="false">IF($L54="","",IF(INDEX(Inv_ProchVerif,$L54)="","—",INDEX(Inv_ProchVerif,$L54)))</f>
        <v/>
      </c>
      <c r="G54" s="87" t="str">
        <f aca="true">IF($L54="","",IF(OR(F54="—",F54=""),"—",F54-TODAY()))</f>
        <v/>
      </c>
      <c r="H54" s="83" t="str">
        <f aca="false">IF($L54="","",IF(AND(OR(D54="EXPIRÉE",D54="À RENOUVELER",D54="FDS ABSENTE"),J54="—"),"OUI","—"))</f>
        <v/>
      </c>
      <c r="I54" s="85" t="str">
        <f aca="false">IF($L54="","",IF(INDEX(Inv_DemFDS,$L54)=0,"—",INDEX(Inv_DemFDS,$L54)))</f>
        <v/>
      </c>
      <c r="J54" s="85" t="str">
        <f aca="false">IF($L54="","",IF(INDEX(Inv_RecFDS,$L54)=0,"—",INDEX(Inv_RecFDS,$L54)))</f>
        <v/>
      </c>
      <c r="L54" s="0" t="str">
        <f aca="false">IF(ROW()-5&gt;NbProduits,"",MATCH(SMALL(CleFDS,ROW()-5),CleFDS,0))</f>
        <v/>
      </c>
    </row>
    <row r="55" customFormat="false" ht="15" hidden="false" customHeight="false" outlineLevel="0" collapsed="false">
      <c r="A55" s="83" t="str">
        <f aca="false">IF($L55="","",INDEX(Inv_Num,$L55))</f>
        <v/>
      </c>
      <c r="B55" s="67" t="str">
        <f aca="false">IF($L55="","",INDEX(Inv_Nom,$L55))</f>
        <v/>
      </c>
      <c r="C55" s="67" t="str">
        <f aca="false">IF($L55="","",T(INDEX(Inv_Fourn,$L55)))</f>
        <v/>
      </c>
      <c r="D55" s="83" t="str">
        <f aca="false">IF($L55="","",INDEX(Inv_StatutFDS,$L55))</f>
        <v/>
      </c>
      <c r="E55" s="85" t="str">
        <f aca="false">IF($L55="","",IF(INDEX(Inv_DateFDS,$L55)=0,"—",INDEX(Inv_DateFDS,$L55)))</f>
        <v/>
      </c>
      <c r="F55" s="85" t="str">
        <f aca="false">IF($L55="","",IF(INDEX(Inv_ProchVerif,$L55)="","—",INDEX(Inv_ProchVerif,$L55)))</f>
        <v/>
      </c>
      <c r="G55" s="87" t="str">
        <f aca="true">IF($L55="","",IF(OR(F55="—",F55=""),"—",F55-TODAY()))</f>
        <v/>
      </c>
      <c r="H55" s="83" t="str">
        <f aca="false">IF($L55="","",IF(AND(OR(D55="EXPIRÉE",D55="À RENOUVELER",D55="FDS ABSENTE"),J55="—"),"OUI","—"))</f>
        <v/>
      </c>
      <c r="I55" s="85" t="str">
        <f aca="false">IF($L55="","",IF(INDEX(Inv_DemFDS,$L55)=0,"—",INDEX(Inv_DemFDS,$L55)))</f>
        <v/>
      </c>
      <c r="J55" s="85" t="str">
        <f aca="false">IF($L55="","",IF(INDEX(Inv_RecFDS,$L55)=0,"—",INDEX(Inv_RecFDS,$L55)))</f>
        <v/>
      </c>
      <c r="L55" s="0" t="str">
        <f aca="false">IF(ROW()-5&gt;NbProduits,"",MATCH(SMALL(CleFDS,ROW()-5),CleFDS,0))</f>
        <v/>
      </c>
    </row>
    <row r="56" customFormat="false" ht="15" hidden="false" customHeight="false" outlineLevel="0" collapsed="false">
      <c r="A56" s="83" t="str">
        <f aca="false">IF($L56="","",INDEX(Inv_Num,$L56))</f>
        <v/>
      </c>
      <c r="B56" s="67" t="str">
        <f aca="false">IF($L56="","",INDEX(Inv_Nom,$L56))</f>
        <v/>
      </c>
      <c r="C56" s="67" t="str">
        <f aca="false">IF($L56="","",T(INDEX(Inv_Fourn,$L56)))</f>
        <v/>
      </c>
      <c r="D56" s="83" t="str">
        <f aca="false">IF($L56="","",INDEX(Inv_StatutFDS,$L56))</f>
        <v/>
      </c>
      <c r="E56" s="85" t="str">
        <f aca="false">IF($L56="","",IF(INDEX(Inv_DateFDS,$L56)=0,"—",INDEX(Inv_DateFDS,$L56)))</f>
        <v/>
      </c>
      <c r="F56" s="85" t="str">
        <f aca="false">IF($L56="","",IF(INDEX(Inv_ProchVerif,$L56)="","—",INDEX(Inv_ProchVerif,$L56)))</f>
        <v/>
      </c>
      <c r="G56" s="87" t="str">
        <f aca="true">IF($L56="","",IF(OR(F56="—",F56=""),"—",F56-TODAY()))</f>
        <v/>
      </c>
      <c r="H56" s="83" t="str">
        <f aca="false">IF($L56="","",IF(AND(OR(D56="EXPIRÉE",D56="À RENOUVELER",D56="FDS ABSENTE"),J56="—"),"OUI","—"))</f>
        <v/>
      </c>
      <c r="I56" s="85" t="str">
        <f aca="false">IF($L56="","",IF(INDEX(Inv_DemFDS,$L56)=0,"—",INDEX(Inv_DemFDS,$L56)))</f>
        <v/>
      </c>
      <c r="J56" s="85" t="str">
        <f aca="false">IF($L56="","",IF(INDEX(Inv_RecFDS,$L56)=0,"—",INDEX(Inv_RecFDS,$L56)))</f>
        <v/>
      </c>
      <c r="L56" s="0" t="str">
        <f aca="false">IF(ROW()-5&gt;NbProduits,"",MATCH(SMALL(CleFDS,ROW()-5),CleFDS,0))</f>
        <v/>
      </c>
    </row>
    <row r="57" customFormat="false" ht="15" hidden="false" customHeight="false" outlineLevel="0" collapsed="false">
      <c r="A57" s="83" t="str">
        <f aca="false">IF($L57="","",INDEX(Inv_Num,$L57))</f>
        <v/>
      </c>
      <c r="B57" s="67" t="str">
        <f aca="false">IF($L57="","",INDEX(Inv_Nom,$L57))</f>
        <v/>
      </c>
      <c r="C57" s="67" t="str">
        <f aca="false">IF($L57="","",T(INDEX(Inv_Fourn,$L57)))</f>
        <v/>
      </c>
      <c r="D57" s="83" t="str">
        <f aca="false">IF($L57="","",INDEX(Inv_StatutFDS,$L57))</f>
        <v/>
      </c>
      <c r="E57" s="85" t="str">
        <f aca="false">IF($L57="","",IF(INDEX(Inv_DateFDS,$L57)=0,"—",INDEX(Inv_DateFDS,$L57)))</f>
        <v/>
      </c>
      <c r="F57" s="85" t="str">
        <f aca="false">IF($L57="","",IF(INDEX(Inv_ProchVerif,$L57)="","—",INDEX(Inv_ProchVerif,$L57)))</f>
        <v/>
      </c>
      <c r="G57" s="87" t="str">
        <f aca="true">IF($L57="","",IF(OR(F57="—",F57=""),"—",F57-TODAY()))</f>
        <v/>
      </c>
      <c r="H57" s="83" t="str">
        <f aca="false">IF($L57="","",IF(AND(OR(D57="EXPIRÉE",D57="À RENOUVELER",D57="FDS ABSENTE"),J57="—"),"OUI","—"))</f>
        <v/>
      </c>
      <c r="I57" s="85" t="str">
        <f aca="false">IF($L57="","",IF(INDEX(Inv_DemFDS,$L57)=0,"—",INDEX(Inv_DemFDS,$L57)))</f>
        <v/>
      </c>
      <c r="J57" s="85" t="str">
        <f aca="false">IF($L57="","",IF(INDEX(Inv_RecFDS,$L57)=0,"—",INDEX(Inv_RecFDS,$L57)))</f>
        <v/>
      </c>
      <c r="L57" s="0" t="str">
        <f aca="false">IF(ROW()-5&gt;NbProduits,"",MATCH(SMALL(CleFDS,ROW()-5),CleFDS,0))</f>
        <v/>
      </c>
    </row>
    <row r="58" customFormat="false" ht="15" hidden="false" customHeight="false" outlineLevel="0" collapsed="false">
      <c r="A58" s="83" t="str">
        <f aca="false">IF($L58="","",INDEX(Inv_Num,$L58))</f>
        <v/>
      </c>
      <c r="B58" s="67" t="str">
        <f aca="false">IF($L58="","",INDEX(Inv_Nom,$L58))</f>
        <v/>
      </c>
      <c r="C58" s="67" t="str">
        <f aca="false">IF($L58="","",T(INDEX(Inv_Fourn,$L58)))</f>
        <v/>
      </c>
      <c r="D58" s="83" t="str">
        <f aca="false">IF($L58="","",INDEX(Inv_StatutFDS,$L58))</f>
        <v/>
      </c>
      <c r="E58" s="85" t="str">
        <f aca="false">IF($L58="","",IF(INDEX(Inv_DateFDS,$L58)=0,"—",INDEX(Inv_DateFDS,$L58)))</f>
        <v/>
      </c>
      <c r="F58" s="85" t="str">
        <f aca="false">IF($L58="","",IF(INDEX(Inv_ProchVerif,$L58)="","—",INDEX(Inv_ProchVerif,$L58)))</f>
        <v/>
      </c>
      <c r="G58" s="87" t="str">
        <f aca="true">IF($L58="","",IF(OR(F58="—",F58=""),"—",F58-TODAY()))</f>
        <v/>
      </c>
      <c r="H58" s="83" t="str">
        <f aca="false">IF($L58="","",IF(AND(OR(D58="EXPIRÉE",D58="À RENOUVELER",D58="FDS ABSENTE"),J58="—"),"OUI","—"))</f>
        <v/>
      </c>
      <c r="I58" s="85" t="str">
        <f aca="false">IF($L58="","",IF(INDEX(Inv_DemFDS,$L58)=0,"—",INDEX(Inv_DemFDS,$L58)))</f>
        <v/>
      </c>
      <c r="J58" s="85" t="str">
        <f aca="false">IF($L58="","",IF(INDEX(Inv_RecFDS,$L58)=0,"—",INDEX(Inv_RecFDS,$L58)))</f>
        <v/>
      </c>
      <c r="L58" s="0" t="str">
        <f aca="false">IF(ROW()-5&gt;NbProduits,"",MATCH(SMALL(CleFDS,ROW()-5),CleFDS,0))</f>
        <v/>
      </c>
    </row>
    <row r="59" customFormat="false" ht="15" hidden="false" customHeight="false" outlineLevel="0" collapsed="false">
      <c r="A59" s="83" t="str">
        <f aca="false">IF($L59="","",INDEX(Inv_Num,$L59))</f>
        <v/>
      </c>
      <c r="B59" s="67" t="str">
        <f aca="false">IF($L59="","",INDEX(Inv_Nom,$L59))</f>
        <v/>
      </c>
      <c r="C59" s="67" t="str">
        <f aca="false">IF($L59="","",T(INDEX(Inv_Fourn,$L59)))</f>
        <v/>
      </c>
      <c r="D59" s="83" t="str">
        <f aca="false">IF($L59="","",INDEX(Inv_StatutFDS,$L59))</f>
        <v/>
      </c>
      <c r="E59" s="85" t="str">
        <f aca="false">IF($L59="","",IF(INDEX(Inv_DateFDS,$L59)=0,"—",INDEX(Inv_DateFDS,$L59)))</f>
        <v/>
      </c>
      <c r="F59" s="85" t="str">
        <f aca="false">IF($L59="","",IF(INDEX(Inv_ProchVerif,$L59)="","—",INDEX(Inv_ProchVerif,$L59)))</f>
        <v/>
      </c>
      <c r="G59" s="87" t="str">
        <f aca="true">IF($L59="","",IF(OR(F59="—",F59=""),"—",F59-TODAY()))</f>
        <v/>
      </c>
      <c r="H59" s="83" t="str">
        <f aca="false">IF($L59="","",IF(AND(OR(D59="EXPIRÉE",D59="À RENOUVELER",D59="FDS ABSENTE"),J59="—"),"OUI","—"))</f>
        <v/>
      </c>
      <c r="I59" s="85" t="str">
        <f aca="false">IF($L59="","",IF(INDEX(Inv_DemFDS,$L59)=0,"—",INDEX(Inv_DemFDS,$L59)))</f>
        <v/>
      </c>
      <c r="J59" s="85" t="str">
        <f aca="false">IF($L59="","",IF(INDEX(Inv_RecFDS,$L59)=0,"—",INDEX(Inv_RecFDS,$L59)))</f>
        <v/>
      </c>
      <c r="L59" s="0" t="str">
        <f aca="false">IF(ROW()-5&gt;NbProduits,"",MATCH(SMALL(CleFDS,ROW()-5),CleFDS,0))</f>
        <v/>
      </c>
    </row>
    <row r="60" customFormat="false" ht="15" hidden="false" customHeight="false" outlineLevel="0" collapsed="false">
      <c r="A60" s="83" t="str">
        <f aca="false">IF($L60="","",INDEX(Inv_Num,$L60))</f>
        <v/>
      </c>
      <c r="B60" s="67" t="str">
        <f aca="false">IF($L60="","",INDEX(Inv_Nom,$L60))</f>
        <v/>
      </c>
      <c r="C60" s="67" t="str">
        <f aca="false">IF($L60="","",T(INDEX(Inv_Fourn,$L60)))</f>
        <v/>
      </c>
      <c r="D60" s="83" t="str">
        <f aca="false">IF($L60="","",INDEX(Inv_StatutFDS,$L60))</f>
        <v/>
      </c>
      <c r="E60" s="85" t="str">
        <f aca="false">IF($L60="","",IF(INDEX(Inv_DateFDS,$L60)=0,"—",INDEX(Inv_DateFDS,$L60)))</f>
        <v/>
      </c>
      <c r="F60" s="85" t="str">
        <f aca="false">IF($L60="","",IF(INDEX(Inv_ProchVerif,$L60)="","—",INDEX(Inv_ProchVerif,$L60)))</f>
        <v/>
      </c>
      <c r="G60" s="87" t="str">
        <f aca="true">IF($L60="","",IF(OR(F60="—",F60=""),"—",F60-TODAY()))</f>
        <v/>
      </c>
      <c r="H60" s="83" t="str">
        <f aca="false">IF($L60="","",IF(AND(OR(D60="EXPIRÉE",D60="À RENOUVELER",D60="FDS ABSENTE"),J60="—"),"OUI","—"))</f>
        <v/>
      </c>
      <c r="I60" s="85" t="str">
        <f aca="false">IF($L60="","",IF(INDEX(Inv_DemFDS,$L60)=0,"—",INDEX(Inv_DemFDS,$L60)))</f>
        <v/>
      </c>
      <c r="J60" s="85" t="str">
        <f aca="false">IF($L60="","",IF(INDEX(Inv_RecFDS,$L60)=0,"—",INDEX(Inv_RecFDS,$L60)))</f>
        <v/>
      </c>
      <c r="L60" s="0" t="str">
        <f aca="false">IF(ROW()-5&gt;NbProduits,"",MATCH(SMALL(CleFDS,ROW()-5),CleFDS,0))</f>
        <v/>
      </c>
    </row>
    <row r="61" customFormat="false" ht="15" hidden="false" customHeight="false" outlineLevel="0" collapsed="false">
      <c r="A61" s="83" t="str">
        <f aca="false">IF($L61="","",INDEX(Inv_Num,$L61))</f>
        <v/>
      </c>
      <c r="B61" s="67" t="str">
        <f aca="false">IF($L61="","",INDEX(Inv_Nom,$L61))</f>
        <v/>
      </c>
      <c r="C61" s="67" t="str">
        <f aca="false">IF($L61="","",T(INDEX(Inv_Fourn,$L61)))</f>
        <v/>
      </c>
      <c r="D61" s="83" t="str">
        <f aca="false">IF($L61="","",INDEX(Inv_StatutFDS,$L61))</f>
        <v/>
      </c>
      <c r="E61" s="85" t="str">
        <f aca="false">IF($L61="","",IF(INDEX(Inv_DateFDS,$L61)=0,"—",INDEX(Inv_DateFDS,$L61)))</f>
        <v/>
      </c>
      <c r="F61" s="85" t="str">
        <f aca="false">IF($L61="","",IF(INDEX(Inv_ProchVerif,$L61)="","—",INDEX(Inv_ProchVerif,$L61)))</f>
        <v/>
      </c>
      <c r="G61" s="87" t="str">
        <f aca="true">IF($L61="","",IF(OR(F61="—",F61=""),"—",F61-TODAY()))</f>
        <v/>
      </c>
      <c r="H61" s="83" t="str">
        <f aca="false">IF($L61="","",IF(AND(OR(D61="EXPIRÉE",D61="À RENOUVELER",D61="FDS ABSENTE"),J61="—"),"OUI","—"))</f>
        <v/>
      </c>
      <c r="I61" s="85" t="str">
        <f aca="false">IF($L61="","",IF(INDEX(Inv_DemFDS,$L61)=0,"—",INDEX(Inv_DemFDS,$L61)))</f>
        <v/>
      </c>
      <c r="J61" s="85" t="str">
        <f aca="false">IF($L61="","",IF(INDEX(Inv_RecFDS,$L61)=0,"—",INDEX(Inv_RecFDS,$L61)))</f>
        <v/>
      </c>
      <c r="L61" s="0" t="str">
        <f aca="false">IF(ROW()-5&gt;NbProduits,"",MATCH(SMALL(CleFDS,ROW()-5),CleFDS,0))</f>
        <v/>
      </c>
    </row>
    <row r="62" customFormat="false" ht="15" hidden="false" customHeight="false" outlineLevel="0" collapsed="false">
      <c r="A62" s="83" t="str">
        <f aca="false">IF($L62="","",INDEX(Inv_Num,$L62))</f>
        <v/>
      </c>
      <c r="B62" s="67" t="str">
        <f aca="false">IF($L62="","",INDEX(Inv_Nom,$L62))</f>
        <v/>
      </c>
      <c r="C62" s="67" t="str">
        <f aca="false">IF($L62="","",T(INDEX(Inv_Fourn,$L62)))</f>
        <v/>
      </c>
      <c r="D62" s="83" t="str">
        <f aca="false">IF($L62="","",INDEX(Inv_StatutFDS,$L62))</f>
        <v/>
      </c>
      <c r="E62" s="85" t="str">
        <f aca="false">IF($L62="","",IF(INDEX(Inv_DateFDS,$L62)=0,"—",INDEX(Inv_DateFDS,$L62)))</f>
        <v/>
      </c>
      <c r="F62" s="85" t="str">
        <f aca="false">IF($L62="","",IF(INDEX(Inv_ProchVerif,$L62)="","—",INDEX(Inv_ProchVerif,$L62)))</f>
        <v/>
      </c>
      <c r="G62" s="87" t="str">
        <f aca="true">IF($L62="","",IF(OR(F62="—",F62=""),"—",F62-TODAY()))</f>
        <v/>
      </c>
      <c r="H62" s="83" t="str">
        <f aca="false">IF($L62="","",IF(AND(OR(D62="EXPIRÉE",D62="À RENOUVELER",D62="FDS ABSENTE"),J62="—"),"OUI","—"))</f>
        <v/>
      </c>
      <c r="I62" s="85" t="str">
        <f aca="false">IF($L62="","",IF(INDEX(Inv_DemFDS,$L62)=0,"—",INDEX(Inv_DemFDS,$L62)))</f>
        <v/>
      </c>
      <c r="J62" s="85" t="str">
        <f aca="false">IF($L62="","",IF(INDEX(Inv_RecFDS,$L62)=0,"—",INDEX(Inv_RecFDS,$L62)))</f>
        <v/>
      </c>
      <c r="L62" s="0" t="str">
        <f aca="false">IF(ROW()-5&gt;NbProduits,"",MATCH(SMALL(CleFDS,ROW()-5),CleFDS,0))</f>
        <v/>
      </c>
    </row>
    <row r="63" customFormat="false" ht="15" hidden="false" customHeight="false" outlineLevel="0" collapsed="false">
      <c r="A63" s="83" t="str">
        <f aca="false">IF($L63="","",INDEX(Inv_Num,$L63))</f>
        <v/>
      </c>
      <c r="B63" s="67" t="str">
        <f aca="false">IF($L63="","",INDEX(Inv_Nom,$L63))</f>
        <v/>
      </c>
      <c r="C63" s="67" t="str">
        <f aca="false">IF($L63="","",T(INDEX(Inv_Fourn,$L63)))</f>
        <v/>
      </c>
      <c r="D63" s="83" t="str">
        <f aca="false">IF($L63="","",INDEX(Inv_StatutFDS,$L63))</f>
        <v/>
      </c>
      <c r="E63" s="85" t="str">
        <f aca="false">IF($L63="","",IF(INDEX(Inv_DateFDS,$L63)=0,"—",INDEX(Inv_DateFDS,$L63)))</f>
        <v/>
      </c>
      <c r="F63" s="85" t="str">
        <f aca="false">IF($L63="","",IF(INDEX(Inv_ProchVerif,$L63)="","—",INDEX(Inv_ProchVerif,$L63)))</f>
        <v/>
      </c>
      <c r="G63" s="87" t="str">
        <f aca="true">IF($L63="","",IF(OR(F63="—",F63=""),"—",F63-TODAY()))</f>
        <v/>
      </c>
      <c r="H63" s="83" t="str">
        <f aca="false">IF($L63="","",IF(AND(OR(D63="EXPIRÉE",D63="À RENOUVELER",D63="FDS ABSENTE"),J63="—"),"OUI","—"))</f>
        <v/>
      </c>
      <c r="I63" s="85" t="str">
        <f aca="false">IF($L63="","",IF(INDEX(Inv_DemFDS,$L63)=0,"—",INDEX(Inv_DemFDS,$L63)))</f>
        <v/>
      </c>
      <c r="J63" s="85" t="str">
        <f aca="false">IF($L63="","",IF(INDEX(Inv_RecFDS,$L63)=0,"—",INDEX(Inv_RecFDS,$L63)))</f>
        <v/>
      </c>
      <c r="L63" s="0" t="str">
        <f aca="false">IF(ROW()-5&gt;NbProduits,"",MATCH(SMALL(CleFDS,ROW()-5),CleFDS,0))</f>
        <v/>
      </c>
    </row>
    <row r="64" customFormat="false" ht="15" hidden="false" customHeight="false" outlineLevel="0" collapsed="false">
      <c r="A64" s="83" t="str">
        <f aca="false">IF($L64="","",INDEX(Inv_Num,$L64))</f>
        <v/>
      </c>
      <c r="B64" s="67" t="str">
        <f aca="false">IF($L64="","",INDEX(Inv_Nom,$L64))</f>
        <v/>
      </c>
      <c r="C64" s="67" t="str">
        <f aca="false">IF($L64="","",T(INDEX(Inv_Fourn,$L64)))</f>
        <v/>
      </c>
      <c r="D64" s="83" t="str">
        <f aca="false">IF($L64="","",INDEX(Inv_StatutFDS,$L64))</f>
        <v/>
      </c>
      <c r="E64" s="85" t="str">
        <f aca="false">IF($L64="","",IF(INDEX(Inv_DateFDS,$L64)=0,"—",INDEX(Inv_DateFDS,$L64)))</f>
        <v/>
      </c>
      <c r="F64" s="85" t="str">
        <f aca="false">IF($L64="","",IF(INDEX(Inv_ProchVerif,$L64)="","—",INDEX(Inv_ProchVerif,$L64)))</f>
        <v/>
      </c>
      <c r="G64" s="87" t="str">
        <f aca="true">IF($L64="","",IF(OR(F64="—",F64=""),"—",F64-TODAY()))</f>
        <v/>
      </c>
      <c r="H64" s="83" t="str">
        <f aca="false">IF($L64="","",IF(AND(OR(D64="EXPIRÉE",D64="À RENOUVELER",D64="FDS ABSENTE"),J64="—"),"OUI","—"))</f>
        <v/>
      </c>
      <c r="I64" s="85" t="str">
        <f aca="false">IF($L64="","",IF(INDEX(Inv_DemFDS,$L64)=0,"—",INDEX(Inv_DemFDS,$L64)))</f>
        <v/>
      </c>
      <c r="J64" s="85" t="str">
        <f aca="false">IF($L64="","",IF(INDEX(Inv_RecFDS,$L64)=0,"—",INDEX(Inv_RecFDS,$L64)))</f>
        <v/>
      </c>
      <c r="L64" s="0" t="str">
        <f aca="false">IF(ROW()-5&gt;NbProduits,"",MATCH(SMALL(CleFDS,ROW()-5),CleFDS,0))</f>
        <v/>
      </c>
    </row>
    <row r="65" customFormat="false" ht="15" hidden="false" customHeight="false" outlineLevel="0" collapsed="false">
      <c r="A65" s="83" t="str">
        <f aca="false">IF($L65="","",INDEX(Inv_Num,$L65))</f>
        <v/>
      </c>
      <c r="B65" s="67" t="str">
        <f aca="false">IF($L65="","",INDEX(Inv_Nom,$L65))</f>
        <v/>
      </c>
      <c r="C65" s="67" t="str">
        <f aca="false">IF($L65="","",T(INDEX(Inv_Fourn,$L65)))</f>
        <v/>
      </c>
      <c r="D65" s="83" t="str">
        <f aca="false">IF($L65="","",INDEX(Inv_StatutFDS,$L65))</f>
        <v/>
      </c>
      <c r="E65" s="85" t="str">
        <f aca="false">IF($L65="","",IF(INDEX(Inv_DateFDS,$L65)=0,"—",INDEX(Inv_DateFDS,$L65)))</f>
        <v/>
      </c>
      <c r="F65" s="85" t="str">
        <f aca="false">IF($L65="","",IF(INDEX(Inv_ProchVerif,$L65)="","—",INDEX(Inv_ProchVerif,$L65)))</f>
        <v/>
      </c>
      <c r="G65" s="87" t="str">
        <f aca="true">IF($L65="","",IF(OR(F65="—",F65=""),"—",F65-TODAY()))</f>
        <v/>
      </c>
      <c r="H65" s="83" t="str">
        <f aca="false">IF($L65="","",IF(AND(OR(D65="EXPIRÉE",D65="À RENOUVELER",D65="FDS ABSENTE"),J65="—"),"OUI","—"))</f>
        <v/>
      </c>
      <c r="I65" s="85" t="str">
        <f aca="false">IF($L65="","",IF(INDEX(Inv_DemFDS,$L65)=0,"—",INDEX(Inv_DemFDS,$L65)))</f>
        <v/>
      </c>
      <c r="J65" s="85" t="str">
        <f aca="false">IF($L65="","",IF(INDEX(Inv_RecFDS,$L65)=0,"—",INDEX(Inv_RecFDS,$L65)))</f>
        <v/>
      </c>
      <c r="L65" s="0" t="str">
        <f aca="false">IF(ROW()-5&gt;NbProduits,"",MATCH(SMALL(CleFDS,ROW()-5),CleFDS,0))</f>
        <v/>
      </c>
    </row>
    <row r="66" customFormat="false" ht="15" hidden="false" customHeight="false" outlineLevel="0" collapsed="false">
      <c r="A66" s="83" t="str">
        <f aca="false">IF($L66="","",INDEX(Inv_Num,$L66))</f>
        <v/>
      </c>
      <c r="B66" s="67" t="str">
        <f aca="false">IF($L66="","",INDEX(Inv_Nom,$L66))</f>
        <v/>
      </c>
      <c r="C66" s="67" t="str">
        <f aca="false">IF($L66="","",T(INDEX(Inv_Fourn,$L66)))</f>
        <v/>
      </c>
      <c r="D66" s="83" t="str">
        <f aca="false">IF($L66="","",INDEX(Inv_StatutFDS,$L66))</f>
        <v/>
      </c>
      <c r="E66" s="85" t="str">
        <f aca="false">IF($L66="","",IF(INDEX(Inv_DateFDS,$L66)=0,"—",INDEX(Inv_DateFDS,$L66)))</f>
        <v/>
      </c>
      <c r="F66" s="85" t="str">
        <f aca="false">IF($L66="","",IF(INDEX(Inv_ProchVerif,$L66)="","—",INDEX(Inv_ProchVerif,$L66)))</f>
        <v/>
      </c>
      <c r="G66" s="87" t="str">
        <f aca="true">IF($L66="","",IF(OR(F66="—",F66=""),"—",F66-TODAY()))</f>
        <v/>
      </c>
      <c r="H66" s="83" t="str">
        <f aca="false">IF($L66="","",IF(AND(OR(D66="EXPIRÉE",D66="À RENOUVELER",D66="FDS ABSENTE"),J66="—"),"OUI","—"))</f>
        <v/>
      </c>
      <c r="I66" s="85" t="str">
        <f aca="false">IF($L66="","",IF(INDEX(Inv_DemFDS,$L66)=0,"—",INDEX(Inv_DemFDS,$L66)))</f>
        <v/>
      </c>
      <c r="J66" s="85" t="str">
        <f aca="false">IF($L66="","",IF(INDEX(Inv_RecFDS,$L66)=0,"—",INDEX(Inv_RecFDS,$L66)))</f>
        <v/>
      </c>
      <c r="L66" s="0" t="str">
        <f aca="false">IF(ROW()-5&gt;NbProduits,"",MATCH(SMALL(CleFDS,ROW()-5),CleFDS,0))</f>
        <v/>
      </c>
    </row>
    <row r="67" customFormat="false" ht="15" hidden="false" customHeight="false" outlineLevel="0" collapsed="false">
      <c r="A67" s="83" t="str">
        <f aca="false">IF($L67="","",INDEX(Inv_Num,$L67))</f>
        <v/>
      </c>
      <c r="B67" s="67" t="str">
        <f aca="false">IF($L67="","",INDEX(Inv_Nom,$L67))</f>
        <v/>
      </c>
      <c r="C67" s="67" t="str">
        <f aca="false">IF($L67="","",T(INDEX(Inv_Fourn,$L67)))</f>
        <v/>
      </c>
      <c r="D67" s="83" t="str">
        <f aca="false">IF($L67="","",INDEX(Inv_StatutFDS,$L67))</f>
        <v/>
      </c>
      <c r="E67" s="85" t="str">
        <f aca="false">IF($L67="","",IF(INDEX(Inv_DateFDS,$L67)=0,"—",INDEX(Inv_DateFDS,$L67)))</f>
        <v/>
      </c>
      <c r="F67" s="85" t="str">
        <f aca="false">IF($L67="","",IF(INDEX(Inv_ProchVerif,$L67)="","—",INDEX(Inv_ProchVerif,$L67)))</f>
        <v/>
      </c>
      <c r="G67" s="87" t="str">
        <f aca="true">IF($L67="","",IF(OR(F67="—",F67=""),"—",F67-TODAY()))</f>
        <v/>
      </c>
      <c r="H67" s="83" t="str">
        <f aca="false">IF($L67="","",IF(AND(OR(D67="EXPIRÉE",D67="À RENOUVELER",D67="FDS ABSENTE"),J67="—"),"OUI","—"))</f>
        <v/>
      </c>
      <c r="I67" s="85" t="str">
        <f aca="false">IF($L67="","",IF(INDEX(Inv_DemFDS,$L67)=0,"—",INDEX(Inv_DemFDS,$L67)))</f>
        <v/>
      </c>
      <c r="J67" s="85" t="str">
        <f aca="false">IF($L67="","",IF(INDEX(Inv_RecFDS,$L67)=0,"—",INDEX(Inv_RecFDS,$L67)))</f>
        <v/>
      </c>
      <c r="L67" s="0" t="str">
        <f aca="false">IF(ROW()-5&gt;NbProduits,"",MATCH(SMALL(CleFDS,ROW()-5),CleFDS,0))</f>
        <v/>
      </c>
    </row>
    <row r="68" customFormat="false" ht="15" hidden="false" customHeight="false" outlineLevel="0" collapsed="false">
      <c r="A68" s="83" t="str">
        <f aca="false">IF($L68="","",INDEX(Inv_Num,$L68))</f>
        <v/>
      </c>
      <c r="B68" s="67" t="str">
        <f aca="false">IF($L68="","",INDEX(Inv_Nom,$L68))</f>
        <v/>
      </c>
      <c r="C68" s="67" t="str">
        <f aca="false">IF($L68="","",T(INDEX(Inv_Fourn,$L68)))</f>
        <v/>
      </c>
      <c r="D68" s="83" t="str">
        <f aca="false">IF($L68="","",INDEX(Inv_StatutFDS,$L68))</f>
        <v/>
      </c>
      <c r="E68" s="85" t="str">
        <f aca="false">IF($L68="","",IF(INDEX(Inv_DateFDS,$L68)=0,"—",INDEX(Inv_DateFDS,$L68)))</f>
        <v/>
      </c>
      <c r="F68" s="85" t="str">
        <f aca="false">IF($L68="","",IF(INDEX(Inv_ProchVerif,$L68)="","—",INDEX(Inv_ProchVerif,$L68)))</f>
        <v/>
      </c>
      <c r="G68" s="87" t="str">
        <f aca="true">IF($L68="","",IF(OR(F68="—",F68=""),"—",F68-TODAY()))</f>
        <v/>
      </c>
      <c r="H68" s="83" t="str">
        <f aca="false">IF($L68="","",IF(AND(OR(D68="EXPIRÉE",D68="À RENOUVELER",D68="FDS ABSENTE"),J68="—"),"OUI","—"))</f>
        <v/>
      </c>
      <c r="I68" s="85" t="str">
        <f aca="false">IF($L68="","",IF(INDEX(Inv_DemFDS,$L68)=0,"—",INDEX(Inv_DemFDS,$L68)))</f>
        <v/>
      </c>
      <c r="J68" s="85" t="str">
        <f aca="false">IF($L68="","",IF(INDEX(Inv_RecFDS,$L68)=0,"—",INDEX(Inv_RecFDS,$L68)))</f>
        <v/>
      </c>
      <c r="L68" s="0" t="str">
        <f aca="false">IF(ROW()-5&gt;NbProduits,"",MATCH(SMALL(CleFDS,ROW()-5),CleFDS,0))</f>
        <v/>
      </c>
    </row>
    <row r="69" customFormat="false" ht="15" hidden="false" customHeight="false" outlineLevel="0" collapsed="false">
      <c r="A69" s="83" t="str">
        <f aca="false">IF($L69="","",INDEX(Inv_Num,$L69))</f>
        <v/>
      </c>
      <c r="B69" s="67" t="str">
        <f aca="false">IF($L69="","",INDEX(Inv_Nom,$L69))</f>
        <v/>
      </c>
      <c r="C69" s="67" t="str">
        <f aca="false">IF($L69="","",T(INDEX(Inv_Fourn,$L69)))</f>
        <v/>
      </c>
      <c r="D69" s="83" t="str">
        <f aca="false">IF($L69="","",INDEX(Inv_StatutFDS,$L69))</f>
        <v/>
      </c>
      <c r="E69" s="85" t="str">
        <f aca="false">IF($L69="","",IF(INDEX(Inv_DateFDS,$L69)=0,"—",INDEX(Inv_DateFDS,$L69)))</f>
        <v/>
      </c>
      <c r="F69" s="85" t="str">
        <f aca="false">IF($L69="","",IF(INDEX(Inv_ProchVerif,$L69)="","—",INDEX(Inv_ProchVerif,$L69)))</f>
        <v/>
      </c>
      <c r="G69" s="87" t="str">
        <f aca="true">IF($L69="","",IF(OR(F69="—",F69=""),"—",F69-TODAY()))</f>
        <v/>
      </c>
      <c r="H69" s="83" t="str">
        <f aca="false">IF($L69="","",IF(AND(OR(D69="EXPIRÉE",D69="À RENOUVELER",D69="FDS ABSENTE"),J69="—"),"OUI","—"))</f>
        <v/>
      </c>
      <c r="I69" s="85" t="str">
        <f aca="false">IF($L69="","",IF(INDEX(Inv_DemFDS,$L69)=0,"—",INDEX(Inv_DemFDS,$L69)))</f>
        <v/>
      </c>
      <c r="J69" s="85" t="str">
        <f aca="false">IF($L69="","",IF(INDEX(Inv_RecFDS,$L69)=0,"—",INDEX(Inv_RecFDS,$L69)))</f>
        <v/>
      </c>
      <c r="L69" s="0" t="str">
        <f aca="false">IF(ROW()-5&gt;NbProduits,"",MATCH(SMALL(CleFDS,ROW()-5),CleFDS,0))</f>
        <v/>
      </c>
    </row>
    <row r="70" customFormat="false" ht="15" hidden="false" customHeight="false" outlineLevel="0" collapsed="false">
      <c r="A70" s="83" t="str">
        <f aca="false">IF($L70="","",INDEX(Inv_Num,$L70))</f>
        <v/>
      </c>
      <c r="B70" s="67" t="str">
        <f aca="false">IF($L70="","",INDEX(Inv_Nom,$L70))</f>
        <v/>
      </c>
      <c r="C70" s="67" t="str">
        <f aca="false">IF($L70="","",T(INDEX(Inv_Fourn,$L70)))</f>
        <v/>
      </c>
      <c r="D70" s="83" t="str">
        <f aca="false">IF($L70="","",INDEX(Inv_StatutFDS,$L70))</f>
        <v/>
      </c>
      <c r="E70" s="85" t="str">
        <f aca="false">IF($L70="","",IF(INDEX(Inv_DateFDS,$L70)=0,"—",INDEX(Inv_DateFDS,$L70)))</f>
        <v/>
      </c>
      <c r="F70" s="85" t="str">
        <f aca="false">IF($L70="","",IF(INDEX(Inv_ProchVerif,$L70)="","—",INDEX(Inv_ProchVerif,$L70)))</f>
        <v/>
      </c>
      <c r="G70" s="87" t="str">
        <f aca="true">IF($L70="","",IF(OR(F70="—",F70=""),"—",F70-TODAY()))</f>
        <v/>
      </c>
      <c r="H70" s="83" t="str">
        <f aca="false">IF($L70="","",IF(AND(OR(D70="EXPIRÉE",D70="À RENOUVELER",D70="FDS ABSENTE"),J70="—"),"OUI","—"))</f>
        <v/>
      </c>
      <c r="I70" s="85" t="str">
        <f aca="false">IF($L70="","",IF(INDEX(Inv_DemFDS,$L70)=0,"—",INDEX(Inv_DemFDS,$L70)))</f>
        <v/>
      </c>
      <c r="J70" s="85" t="str">
        <f aca="false">IF($L70="","",IF(INDEX(Inv_RecFDS,$L70)=0,"—",INDEX(Inv_RecFDS,$L70)))</f>
        <v/>
      </c>
      <c r="L70" s="0" t="str">
        <f aca="false">IF(ROW()-5&gt;NbProduits,"",MATCH(SMALL(CleFDS,ROW()-5),CleFDS,0))</f>
        <v/>
      </c>
    </row>
    <row r="71" customFormat="false" ht="15" hidden="false" customHeight="false" outlineLevel="0" collapsed="false">
      <c r="A71" s="83" t="str">
        <f aca="false">IF($L71="","",INDEX(Inv_Num,$L71))</f>
        <v/>
      </c>
      <c r="B71" s="67" t="str">
        <f aca="false">IF($L71="","",INDEX(Inv_Nom,$L71))</f>
        <v/>
      </c>
      <c r="C71" s="67" t="str">
        <f aca="false">IF($L71="","",T(INDEX(Inv_Fourn,$L71)))</f>
        <v/>
      </c>
      <c r="D71" s="83" t="str">
        <f aca="false">IF($L71="","",INDEX(Inv_StatutFDS,$L71))</f>
        <v/>
      </c>
      <c r="E71" s="85" t="str">
        <f aca="false">IF($L71="","",IF(INDEX(Inv_DateFDS,$L71)=0,"—",INDEX(Inv_DateFDS,$L71)))</f>
        <v/>
      </c>
      <c r="F71" s="85" t="str">
        <f aca="false">IF($L71="","",IF(INDEX(Inv_ProchVerif,$L71)="","—",INDEX(Inv_ProchVerif,$L71)))</f>
        <v/>
      </c>
      <c r="G71" s="87" t="str">
        <f aca="true">IF($L71="","",IF(OR(F71="—",F71=""),"—",F71-TODAY()))</f>
        <v/>
      </c>
      <c r="H71" s="83" t="str">
        <f aca="false">IF($L71="","",IF(AND(OR(D71="EXPIRÉE",D71="À RENOUVELER",D71="FDS ABSENTE"),J71="—"),"OUI","—"))</f>
        <v/>
      </c>
      <c r="I71" s="85" t="str">
        <f aca="false">IF($L71="","",IF(INDEX(Inv_DemFDS,$L71)=0,"—",INDEX(Inv_DemFDS,$L71)))</f>
        <v/>
      </c>
      <c r="J71" s="85" t="str">
        <f aca="false">IF($L71="","",IF(INDEX(Inv_RecFDS,$L71)=0,"—",INDEX(Inv_RecFDS,$L71)))</f>
        <v/>
      </c>
      <c r="L71" s="0" t="str">
        <f aca="false">IF(ROW()-5&gt;NbProduits,"",MATCH(SMALL(CleFDS,ROW()-5),CleFDS,0))</f>
        <v/>
      </c>
    </row>
    <row r="72" customFormat="false" ht="15" hidden="false" customHeight="false" outlineLevel="0" collapsed="false">
      <c r="A72" s="83" t="str">
        <f aca="false">IF($L72="","",INDEX(Inv_Num,$L72))</f>
        <v/>
      </c>
      <c r="B72" s="67" t="str">
        <f aca="false">IF($L72="","",INDEX(Inv_Nom,$L72))</f>
        <v/>
      </c>
      <c r="C72" s="67" t="str">
        <f aca="false">IF($L72="","",T(INDEX(Inv_Fourn,$L72)))</f>
        <v/>
      </c>
      <c r="D72" s="83" t="str">
        <f aca="false">IF($L72="","",INDEX(Inv_StatutFDS,$L72))</f>
        <v/>
      </c>
      <c r="E72" s="85" t="str">
        <f aca="false">IF($L72="","",IF(INDEX(Inv_DateFDS,$L72)=0,"—",INDEX(Inv_DateFDS,$L72)))</f>
        <v/>
      </c>
      <c r="F72" s="85" t="str">
        <f aca="false">IF($L72="","",IF(INDEX(Inv_ProchVerif,$L72)="","—",INDEX(Inv_ProchVerif,$L72)))</f>
        <v/>
      </c>
      <c r="G72" s="87" t="str">
        <f aca="true">IF($L72="","",IF(OR(F72="—",F72=""),"—",F72-TODAY()))</f>
        <v/>
      </c>
      <c r="H72" s="83" t="str">
        <f aca="false">IF($L72="","",IF(AND(OR(D72="EXPIRÉE",D72="À RENOUVELER",D72="FDS ABSENTE"),J72="—"),"OUI","—"))</f>
        <v/>
      </c>
      <c r="I72" s="85" t="str">
        <f aca="false">IF($L72="","",IF(INDEX(Inv_DemFDS,$L72)=0,"—",INDEX(Inv_DemFDS,$L72)))</f>
        <v/>
      </c>
      <c r="J72" s="85" t="str">
        <f aca="false">IF($L72="","",IF(INDEX(Inv_RecFDS,$L72)=0,"—",INDEX(Inv_RecFDS,$L72)))</f>
        <v/>
      </c>
      <c r="L72" s="0" t="str">
        <f aca="false">IF(ROW()-5&gt;NbProduits,"",MATCH(SMALL(CleFDS,ROW()-5),CleFDS,0))</f>
        <v/>
      </c>
    </row>
    <row r="73" customFormat="false" ht="15" hidden="false" customHeight="false" outlineLevel="0" collapsed="false">
      <c r="A73" s="83" t="str">
        <f aca="false">IF($L73="","",INDEX(Inv_Num,$L73))</f>
        <v/>
      </c>
      <c r="B73" s="67" t="str">
        <f aca="false">IF($L73="","",INDEX(Inv_Nom,$L73))</f>
        <v/>
      </c>
      <c r="C73" s="67" t="str">
        <f aca="false">IF($L73="","",T(INDEX(Inv_Fourn,$L73)))</f>
        <v/>
      </c>
      <c r="D73" s="83" t="str">
        <f aca="false">IF($L73="","",INDEX(Inv_StatutFDS,$L73))</f>
        <v/>
      </c>
      <c r="E73" s="85" t="str">
        <f aca="false">IF($L73="","",IF(INDEX(Inv_DateFDS,$L73)=0,"—",INDEX(Inv_DateFDS,$L73)))</f>
        <v/>
      </c>
      <c r="F73" s="85" t="str">
        <f aca="false">IF($L73="","",IF(INDEX(Inv_ProchVerif,$L73)="","—",INDEX(Inv_ProchVerif,$L73)))</f>
        <v/>
      </c>
      <c r="G73" s="87" t="str">
        <f aca="true">IF($L73="","",IF(OR(F73="—",F73=""),"—",F73-TODAY()))</f>
        <v/>
      </c>
      <c r="H73" s="83" t="str">
        <f aca="false">IF($L73="","",IF(AND(OR(D73="EXPIRÉE",D73="À RENOUVELER",D73="FDS ABSENTE"),J73="—"),"OUI","—"))</f>
        <v/>
      </c>
      <c r="I73" s="85" t="str">
        <f aca="false">IF($L73="","",IF(INDEX(Inv_DemFDS,$L73)=0,"—",INDEX(Inv_DemFDS,$L73)))</f>
        <v/>
      </c>
      <c r="J73" s="85" t="str">
        <f aca="false">IF($L73="","",IF(INDEX(Inv_RecFDS,$L73)=0,"—",INDEX(Inv_RecFDS,$L73)))</f>
        <v/>
      </c>
      <c r="L73" s="0" t="str">
        <f aca="false">IF(ROW()-5&gt;NbProduits,"",MATCH(SMALL(CleFDS,ROW()-5),CleFDS,0))</f>
        <v/>
      </c>
    </row>
    <row r="74" customFormat="false" ht="15" hidden="false" customHeight="false" outlineLevel="0" collapsed="false">
      <c r="A74" s="83" t="str">
        <f aca="false">IF($L74="","",INDEX(Inv_Num,$L74))</f>
        <v/>
      </c>
      <c r="B74" s="67" t="str">
        <f aca="false">IF($L74="","",INDEX(Inv_Nom,$L74))</f>
        <v/>
      </c>
      <c r="C74" s="67" t="str">
        <f aca="false">IF($L74="","",T(INDEX(Inv_Fourn,$L74)))</f>
        <v/>
      </c>
      <c r="D74" s="83" t="str">
        <f aca="false">IF($L74="","",INDEX(Inv_StatutFDS,$L74))</f>
        <v/>
      </c>
      <c r="E74" s="85" t="str">
        <f aca="false">IF($L74="","",IF(INDEX(Inv_DateFDS,$L74)=0,"—",INDEX(Inv_DateFDS,$L74)))</f>
        <v/>
      </c>
      <c r="F74" s="85" t="str">
        <f aca="false">IF($L74="","",IF(INDEX(Inv_ProchVerif,$L74)="","—",INDEX(Inv_ProchVerif,$L74)))</f>
        <v/>
      </c>
      <c r="G74" s="87" t="str">
        <f aca="true">IF($L74="","",IF(OR(F74="—",F74=""),"—",F74-TODAY()))</f>
        <v/>
      </c>
      <c r="H74" s="83" t="str">
        <f aca="false">IF($L74="","",IF(AND(OR(D74="EXPIRÉE",D74="À RENOUVELER",D74="FDS ABSENTE"),J74="—"),"OUI","—"))</f>
        <v/>
      </c>
      <c r="I74" s="85" t="str">
        <f aca="false">IF($L74="","",IF(INDEX(Inv_DemFDS,$L74)=0,"—",INDEX(Inv_DemFDS,$L74)))</f>
        <v/>
      </c>
      <c r="J74" s="85" t="str">
        <f aca="false">IF($L74="","",IF(INDEX(Inv_RecFDS,$L74)=0,"—",INDEX(Inv_RecFDS,$L74)))</f>
        <v/>
      </c>
      <c r="L74" s="0" t="str">
        <f aca="false">IF(ROW()-5&gt;NbProduits,"",MATCH(SMALL(CleFDS,ROW()-5),CleFDS,0))</f>
        <v/>
      </c>
    </row>
    <row r="75" customFormat="false" ht="15" hidden="false" customHeight="false" outlineLevel="0" collapsed="false">
      <c r="A75" s="83" t="str">
        <f aca="false">IF($L75="","",INDEX(Inv_Num,$L75))</f>
        <v/>
      </c>
      <c r="B75" s="67" t="str">
        <f aca="false">IF($L75="","",INDEX(Inv_Nom,$L75))</f>
        <v/>
      </c>
      <c r="C75" s="67" t="str">
        <f aca="false">IF($L75="","",T(INDEX(Inv_Fourn,$L75)))</f>
        <v/>
      </c>
      <c r="D75" s="83" t="str">
        <f aca="false">IF($L75="","",INDEX(Inv_StatutFDS,$L75))</f>
        <v/>
      </c>
      <c r="E75" s="85" t="str">
        <f aca="false">IF($L75="","",IF(INDEX(Inv_DateFDS,$L75)=0,"—",INDEX(Inv_DateFDS,$L75)))</f>
        <v/>
      </c>
      <c r="F75" s="85" t="str">
        <f aca="false">IF($L75="","",IF(INDEX(Inv_ProchVerif,$L75)="","—",INDEX(Inv_ProchVerif,$L75)))</f>
        <v/>
      </c>
      <c r="G75" s="87" t="str">
        <f aca="true">IF($L75="","",IF(OR(F75="—",F75=""),"—",F75-TODAY()))</f>
        <v/>
      </c>
      <c r="H75" s="83" t="str">
        <f aca="false">IF($L75="","",IF(AND(OR(D75="EXPIRÉE",D75="À RENOUVELER",D75="FDS ABSENTE"),J75="—"),"OUI","—"))</f>
        <v/>
      </c>
      <c r="I75" s="85" t="str">
        <f aca="false">IF($L75="","",IF(INDEX(Inv_DemFDS,$L75)=0,"—",INDEX(Inv_DemFDS,$L75)))</f>
        <v/>
      </c>
      <c r="J75" s="85" t="str">
        <f aca="false">IF($L75="","",IF(INDEX(Inv_RecFDS,$L75)=0,"—",INDEX(Inv_RecFDS,$L75)))</f>
        <v/>
      </c>
      <c r="L75" s="0" t="str">
        <f aca="false">IF(ROW()-5&gt;NbProduits,"",MATCH(SMALL(CleFDS,ROW()-5),CleFDS,0))</f>
        <v/>
      </c>
    </row>
    <row r="76" customFormat="false" ht="15" hidden="false" customHeight="false" outlineLevel="0" collapsed="false">
      <c r="A76" s="83" t="str">
        <f aca="false">IF($L76="","",INDEX(Inv_Num,$L76))</f>
        <v/>
      </c>
      <c r="B76" s="67" t="str">
        <f aca="false">IF($L76="","",INDEX(Inv_Nom,$L76))</f>
        <v/>
      </c>
      <c r="C76" s="67" t="str">
        <f aca="false">IF($L76="","",T(INDEX(Inv_Fourn,$L76)))</f>
        <v/>
      </c>
      <c r="D76" s="83" t="str">
        <f aca="false">IF($L76="","",INDEX(Inv_StatutFDS,$L76))</f>
        <v/>
      </c>
      <c r="E76" s="85" t="str">
        <f aca="false">IF($L76="","",IF(INDEX(Inv_DateFDS,$L76)=0,"—",INDEX(Inv_DateFDS,$L76)))</f>
        <v/>
      </c>
      <c r="F76" s="85" t="str">
        <f aca="false">IF($L76="","",IF(INDEX(Inv_ProchVerif,$L76)="","—",INDEX(Inv_ProchVerif,$L76)))</f>
        <v/>
      </c>
      <c r="G76" s="87" t="str">
        <f aca="true">IF($L76="","",IF(OR(F76="—",F76=""),"—",F76-TODAY()))</f>
        <v/>
      </c>
      <c r="H76" s="83" t="str">
        <f aca="false">IF($L76="","",IF(AND(OR(D76="EXPIRÉE",D76="À RENOUVELER",D76="FDS ABSENTE"),J76="—"),"OUI","—"))</f>
        <v/>
      </c>
      <c r="I76" s="85" t="str">
        <f aca="false">IF($L76="","",IF(INDEX(Inv_DemFDS,$L76)=0,"—",INDEX(Inv_DemFDS,$L76)))</f>
        <v/>
      </c>
      <c r="J76" s="85" t="str">
        <f aca="false">IF($L76="","",IF(INDEX(Inv_RecFDS,$L76)=0,"—",INDEX(Inv_RecFDS,$L76)))</f>
        <v/>
      </c>
      <c r="L76" s="0" t="str">
        <f aca="false">IF(ROW()-5&gt;NbProduits,"",MATCH(SMALL(CleFDS,ROW()-5),CleFDS,0))</f>
        <v/>
      </c>
    </row>
    <row r="77" customFormat="false" ht="15" hidden="false" customHeight="false" outlineLevel="0" collapsed="false">
      <c r="A77" s="83" t="str">
        <f aca="false">IF($L77="","",INDEX(Inv_Num,$L77))</f>
        <v/>
      </c>
      <c r="B77" s="67" t="str">
        <f aca="false">IF($L77="","",INDEX(Inv_Nom,$L77))</f>
        <v/>
      </c>
      <c r="C77" s="67" t="str">
        <f aca="false">IF($L77="","",T(INDEX(Inv_Fourn,$L77)))</f>
        <v/>
      </c>
      <c r="D77" s="83" t="str">
        <f aca="false">IF($L77="","",INDEX(Inv_StatutFDS,$L77))</f>
        <v/>
      </c>
      <c r="E77" s="85" t="str">
        <f aca="false">IF($L77="","",IF(INDEX(Inv_DateFDS,$L77)=0,"—",INDEX(Inv_DateFDS,$L77)))</f>
        <v/>
      </c>
      <c r="F77" s="85" t="str">
        <f aca="false">IF($L77="","",IF(INDEX(Inv_ProchVerif,$L77)="","—",INDEX(Inv_ProchVerif,$L77)))</f>
        <v/>
      </c>
      <c r="G77" s="87" t="str">
        <f aca="true">IF($L77="","",IF(OR(F77="—",F77=""),"—",F77-TODAY()))</f>
        <v/>
      </c>
      <c r="H77" s="83" t="str">
        <f aca="false">IF($L77="","",IF(AND(OR(D77="EXPIRÉE",D77="À RENOUVELER",D77="FDS ABSENTE"),J77="—"),"OUI","—"))</f>
        <v/>
      </c>
      <c r="I77" s="85" t="str">
        <f aca="false">IF($L77="","",IF(INDEX(Inv_DemFDS,$L77)=0,"—",INDEX(Inv_DemFDS,$L77)))</f>
        <v/>
      </c>
      <c r="J77" s="85" t="str">
        <f aca="false">IF($L77="","",IF(INDEX(Inv_RecFDS,$L77)=0,"—",INDEX(Inv_RecFDS,$L77)))</f>
        <v/>
      </c>
      <c r="L77" s="0" t="str">
        <f aca="false">IF(ROW()-5&gt;NbProduits,"",MATCH(SMALL(CleFDS,ROW()-5),CleFDS,0))</f>
        <v/>
      </c>
    </row>
    <row r="78" customFormat="false" ht="15" hidden="false" customHeight="false" outlineLevel="0" collapsed="false">
      <c r="A78" s="83" t="str">
        <f aca="false">IF($L78="","",INDEX(Inv_Num,$L78))</f>
        <v/>
      </c>
      <c r="B78" s="67" t="str">
        <f aca="false">IF($L78="","",INDEX(Inv_Nom,$L78))</f>
        <v/>
      </c>
      <c r="C78" s="67" t="str">
        <f aca="false">IF($L78="","",T(INDEX(Inv_Fourn,$L78)))</f>
        <v/>
      </c>
      <c r="D78" s="83" t="str">
        <f aca="false">IF($L78="","",INDEX(Inv_StatutFDS,$L78))</f>
        <v/>
      </c>
      <c r="E78" s="85" t="str">
        <f aca="false">IF($L78="","",IF(INDEX(Inv_DateFDS,$L78)=0,"—",INDEX(Inv_DateFDS,$L78)))</f>
        <v/>
      </c>
      <c r="F78" s="85" t="str">
        <f aca="false">IF($L78="","",IF(INDEX(Inv_ProchVerif,$L78)="","—",INDEX(Inv_ProchVerif,$L78)))</f>
        <v/>
      </c>
      <c r="G78" s="87" t="str">
        <f aca="true">IF($L78="","",IF(OR(F78="—",F78=""),"—",F78-TODAY()))</f>
        <v/>
      </c>
      <c r="H78" s="83" t="str">
        <f aca="false">IF($L78="","",IF(AND(OR(D78="EXPIRÉE",D78="À RENOUVELER",D78="FDS ABSENTE"),J78="—"),"OUI","—"))</f>
        <v/>
      </c>
      <c r="I78" s="85" t="str">
        <f aca="false">IF($L78="","",IF(INDEX(Inv_DemFDS,$L78)=0,"—",INDEX(Inv_DemFDS,$L78)))</f>
        <v/>
      </c>
      <c r="J78" s="85" t="str">
        <f aca="false">IF($L78="","",IF(INDEX(Inv_RecFDS,$L78)=0,"—",INDEX(Inv_RecFDS,$L78)))</f>
        <v/>
      </c>
      <c r="L78" s="0" t="str">
        <f aca="false">IF(ROW()-5&gt;NbProduits,"",MATCH(SMALL(CleFDS,ROW()-5),CleFDS,0))</f>
        <v/>
      </c>
    </row>
    <row r="79" customFormat="false" ht="15" hidden="false" customHeight="false" outlineLevel="0" collapsed="false">
      <c r="A79" s="83" t="str">
        <f aca="false">IF($L79="","",INDEX(Inv_Num,$L79))</f>
        <v/>
      </c>
      <c r="B79" s="67" t="str">
        <f aca="false">IF($L79="","",INDEX(Inv_Nom,$L79))</f>
        <v/>
      </c>
      <c r="C79" s="67" t="str">
        <f aca="false">IF($L79="","",T(INDEX(Inv_Fourn,$L79)))</f>
        <v/>
      </c>
      <c r="D79" s="83" t="str">
        <f aca="false">IF($L79="","",INDEX(Inv_StatutFDS,$L79))</f>
        <v/>
      </c>
      <c r="E79" s="85" t="str">
        <f aca="false">IF($L79="","",IF(INDEX(Inv_DateFDS,$L79)=0,"—",INDEX(Inv_DateFDS,$L79)))</f>
        <v/>
      </c>
      <c r="F79" s="85" t="str">
        <f aca="false">IF($L79="","",IF(INDEX(Inv_ProchVerif,$L79)="","—",INDEX(Inv_ProchVerif,$L79)))</f>
        <v/>
      </c>
      <c r="G79" s="87" t="str">
        <f aca="true">IF($L79="","",IF(OR(F79="—",F79=""),"—",F79-TODAY()))</f>
        <v/>
      </c>
      <c r="H79" s="83" t="str">
        <f aca="false">IF($L79="","",IF(AND(OR(D79="EXPIRÉE",D79="À RENOUVELER",D79="FDS ABSENTE"),J79="—"),"OUI","—"))</f>
        <v/>
      </c>
      <c r="I79" s="85" t="str">
        <f aca="false">IF($L79="","",IF(INDEX(Inv_DemFDS,$L79)=0,"—",INDEX(Inv_DemFDS,$L79)))</f>
        <v/>
      </c>
      <c r="J79" s="85" t="str">
        <f aca="false">IF($L79="","",IF(INDEX(Inv_RecFDS,$L79)=0,"—",INDEX(Inv_RecFDS,$L79)))</f>
        <v/>
      </c>
      <c r="L79" s="0" t="str">
        <f aca="false">IF(ROW()-5&gt;NbProduits,"",MATCH(SMALL(CleFDS,ROW()-5),CleFDS,0))</f>
        <v/>
      </c>
    </row>
    <row r="80" customFormat="false" ht="15" hidden="false" customHeight="false" outlineLevel="0" collapsed="false">
      <c r="A80" s="83" t="str">
        <f aca="false">IF($L80="","",INDEX(Inv_Num,$L80))</f>
        <v/>
      </c>
      <c r="B80" s="67" t="str">
        <f aca="false">IF($L80="","",INDEX(Inv_Nom,$L80))</f>
        <v/>
      </c>
      <c r="C80" s="67" t="str">
        <f aca="false">IF($L80="","",T(INDEX(Inv_Fourn,$L80)))</f>
        <v/>
      </c>
      <c r="D80" s="83" t="str">
        <f aca="false">IF($L80="","",INDEX(Inv_StatutFDS,$L80))</f>
        <v/>
      </c>
      <c r="E80" s="85" t="str">
        <f aca="false">IF($L80="","",IF(INDEX(Inv_DateFDS,$L80)=0,"—",INDEX(Inv_DateFDS,$L80)))</f>
        <v/>
      </c>
      <c r="F80" s="85" t="str">
        <f aca="false">IF($L80="","",IF(INDEX(Inv_ProchVerif,$L80)="","—",INDEX(Inv_ProchVerif,$L80)))</f>
        <v/>
      </c>
      <c r="G80" s="87" t="str">
        <f aca="true">IF($L80="","",IF(OR(F80="—",F80=""),"—",F80-TODAY()))</f>
        <v/>
      </c>
      <c r="H80" s="83" t="str">
        <f aca="false">IF($L80="","",IF(AND(OR(D80="EXPIRÉE",D80="À RENOUVELER",D80="FDS ABSENTE"),J80="—"),"OUI","—"))</f>
        <v/>
      </c>
      <c r="I80" s="85" t="str">
        <f aca="false">IF($L80="","",IF(INDEX(Inv_DemFDS,$L80)=0,"—",INDEX(Inv_DemFDS,$L80)))</f>
        <v/>
      </c>
      <c r="J80" s="85" t="str">
        <f aca="false">IF($L80="","",IF(INDEX(Inv_RecFDS,$L80)=0,"—",INDEX(Inv_RecFDS,$L80)))</f>
        <v/>
      </c>
      <c r="L80" s="0" t="str">
        <f aca="false">IF(ROW()-5&gt;NbProduits,"",MATCH(SMALL(CleFDS,ROW()-5),CleFDS,0))</f>
        <v/>
      </c>
    </row>
    <row r="81" customFormat="false" ht="15" hidden="false" customHeight="false" outlineLevel="0" collapsed="false">
      <c r="A81" s="83" t="str">
        <f aca="false">IF($L81="","",INDEX(Inv_Num,$L81))</f>
        <v/>
      </c>
      <c r="B81" s="67" t="str">
        <f aca="false">IF($L81="","",INDEX(Inv_Nom,$L81))</f>
        <v/>
      </c>
      <c r="C81" s="67" t="str">
        <f aca="false">IF($L81="","",T(INDEX(Inv_Fourn,$L81)))</f>
        <v/>
      </c>
      <c r="D81" s="83" t="str">
        <f aca="false">IF($L81="","",INDEX(Inv_StatutFDS,$L81))</f>
        <v/>
      </c>
      <c r="E81" s="85" t="str">
        <f aca="false">IF($L81="","",IF(INDEX(Inv_DateFDS,$L81)=0,"—",INDEX(Inv_DateFDS,$L81)))</f>
        <v/>
      </c>
      <c r="F81" s="85" t="str">
        <f aca="false">IF($L81="","",IF(INDEX(Inv_ProchVerif,$L81)="","—",INDEX(Inv_ProchVerif,$L81)))</f>
        <v/>
      </c>
      <c r="G81" s="87" t="str">
        <f aca="true">IF($L81="","",IF(OR(F81="—",F81=""),"—",F81-TODAY()))</f>
        <v/>
      </c>
      <c r="H81" s="83" t="str">
        <f aca="false">IF($L81="","",IF(AND(OR(D81="EXPIRÉE",D81="À RENOUVELER",D81="FDS ABSENTE"),J81="—"),"OUI","—"))</f>
        <v/>
      </c>
      <c r="I81" s="85" t="str">
        <f aca="false">IF($L81="","",IF(INDEX(Inv_DemFDS,$L81)=0,"—",INDEX(Inv_DemFDS,$L81)))</f>
        <v/>
      </c>
      <c r="J81" s="85" t="str">
        <f aca="false">IF($L81="","",IF(INDEX(Inv_RecFDS,$L81)=0,"—",INDEX(Inv_RecFDS,$L81)))</f>
        <v/>
      </c>
      <c r="L81" s="0" t="str">
        <f aca="false">IF(ROW()-5&gt;NbProduits,"",MATCH(SMALL(CleFDS,ROW()-5),CleFDS,0))</f>
        <v/>
      </c>
    </row>
    <row r="82" customFormat="false" ht="15" hidden="false" customHeight="false" outlineLevel="0" collapsed="false">
      <c r="A82" s="83" t="str">
        <f aca="false">IF($L82="","",INDEX(Inv_Num,$L82))</f>
        <v/>
      </c>
      <c r="B82" s="67" t="str">
        <f aca="false">IF($L82="","",INDEX(Inv_Nom,$L82))</f>
        <v/>
      </c>
      <c r="C82" s="67" t="str">
        <f aca="false">IF($L82="","",T(INDEX(Inv_Fourn,$L82)))</f>
        <v/>
      </c>
      <c r="D82" s="83" t="str">
        <f aca="false">IF($L82="","",INDEX(Inv_StatutFDS,$L82))</f>
        <v/>
      </c>
      <c r="E82" s="85" t="str">
        <f aca="false">IF($L82="","",IF(INDEX(Inv_DateFDS,$L82)=0,"—",INDEX(Inv_DateFDS,$L82)))</f>
        <v/>
      </c>
      <c r="F82" s="85" t="str">
        <f aca="false">IF($L82="","",IF(INDEX(Inv_ProchVerif,$L82)="","—",INDEX(Inv_ProchVerif,$L82)))</f>
        <v/>
      </c>
      <c r="G82" s="87" t="str">
        <f aca="true">IF($L82="","",IF(OR(F82="—",F82=""),"—",F82-TODAY()))</f>
        <v/>
      </c>
      <c r="H82" s="83" t="str">
        <f aca="false">IF($L82="","",IF(AND(OR(D82="EXPIRÉE",D82="À RENOUVELER",D82="FDS ABSENTE"),J82="—"),"OUI","—"))</f>
        <v/>
      </c>
      <c r="I82" s="85" t="str">
        <f aca="false">IF($L82="","",IF(INDEX(Inv_DemFDS,$L82)=0,"—",INDEX(Inv_DemFDS,$L82)))</f>
        <v/>
      </c>
      <c r="J82" s="85" t="str">
        <f aca="false">IF($L82="","",IF(INDEX(Inv_RecFDS,$L82)=0,"—",INDEX(Inv_RecFDS,$L82)))</f>
        <v/>
      </c>
      <c r="L82" s="0" t="str">
        <f aca="false">IF(ROW()-5&gt;NbProduits,"",MATCH(SMALL(CleFDS,ROW()-5),CleFDS,0))</f>
        <v/>
      </c>
    </row>
    <row r="83" customFormat="false" ht="15" hidden="false" customHeight="false" outlineLevel="0" collapsed="false">
      <c r="A83" s="83" t="str">
        <f aca="false">IF($L83="","",INDEX(Inv_Num,$L83))</f>
        <v/>
      </c>
      <c r="B83" s="67" t="str">
        <f aca="false">IF($L83="","",INDEX(Inv_Nom,$L83))</f>
        <v/>
      </c>
      <c r="C83" s="67" t="str">
        <f aca="false">IF($L83="","",T(INDEX(Inv_Fourn,$L83)))</f>
        <v/>
      </c>
      <c r="D83" s="83" t="str">
        <f aca="false">IF($L83="","",INDEX(Inv_StatutFDS,$L83))</f>
        <v/>
      </c>
      <c r="E83" s="85" t="str">
        <f aca="false">IF($L83="","",IF(INDEX(Inv_DateFDS,$L83)=0,"—",INDEX(Inv_DateFDS,$L83)))</f>
        <v/>
      </c>
      <c r="F83" s="85" t="str">
        <f aca="false">IF($L83="","",IF(INDEX(Inv_ProchVerif,$L83)="","—",INDEX(Inv_ProchVerif,$L83)))</f>
        <v/>
      </c>
      <c r="G83" s="87" t="str">
        <f aca="true">IF($L83="","",IF(OR(F83="—",F83=""),"—",F83-TODAY()))</f>
        <v/>
      </c>
      <c r="H83" s="83" t="str">
        <f aca="false">IF($L83="","",IF(AND(OR(D83="EXPIRÉE",D83="À RENOUVELER",D83="FDS ABSENTE"),J83="—"),"OUI","—"))</f>
        <v/>
      </c>
      <c r="I83" s="85" t="str">
        <f aca="false">IF($L83="","",IF(INDEX(Inv_DemFDS,$L83)=0,"—",INDEX(Inv_DemFDS,$L83)))</f>
        <v/>
      </c>
      <c r="J83" s="85" t="str">
        <f aca="false">IF($L83="","",IF(INDEX(Inv_RecFDS,$L83)=0,"—",INDEX(Inv_RecFDS,$L83)))</f>
        <v/>
      </c>
      <c r="L83" s="0" t="str">
        <f aca="false">IF(ROW()-5&gt;NbProduits,"",MATCH(SMALL(CleFDS,ROW()-5),CleFDS,0))</f>
        <v/>
      </c>
    </row>
    <row r="84" customFormat="false" ht="15" hidden="false" customHeight="false" outlineLevel="0" collapsed="false">
      <c r="A84" s="83" t="str">
        <f aca="false">IF($L84="","",INDEX(Inv_Num,$L84))</f>
        <v/>
      </c>
      <c r="B84" s="67" t="str">
        <f aca="false">IF($L84="","",INDEX(Inv_Nom,$L84))</f>
        <v/>
      </c>
      <c r="C84" s="67" t="str">
        <f aca="false">IF($L84="","",T(INDEX(Inv_Fourn,$L84)))</f>
        <v/>
      </c>
      <c r="D84" s="83" t="str">
        <f aca="false">IF($L84="","",INDEX(Inv_StatutFDS,$L84))</f>
        <v/>
      </c>
      <c r="E84" s="85" t="str">
        <f aca="false">IF($L84="","",IF(INDEX(Inv_DateFDS,$L84)=0,"—",INDEX(Inv_DateFDS,$L84)))</f>
        <v/>
      </c>
      <c r="F84" s="85" t="str">
        <f aca="false">IF($L84="","",IF(INDEX(Inv_ProchVerif,$L84)="","—",INDEX(Inv_ProchVerif,$L84)))</f>
        <v/>
      </c>
      <c r="G84" s="87" t="str">
        <f aca="true">IF($L84="","",IF(OR(F84="—",F84=""),"—",F84-TODAY()))</f>
        <v/>
      </c>
      <c r="H84" s="83" t="str">
        <f aca="false">IF($L84="","",IF(AND(OR(D84="EXPIRÉE",D84="À RENOUVELER",D84="FDS ABSENTE"),J84="—"),"OUI","—"))</f>
        <v/>
      </c>
      <c r="I84" s="85" t="str">
        <f aca="false">IF($L84="","",IF(INDEX(Inv_DemFDS,$L84)=0,"—",INDEX(Inv_DemFDS,$L84)))</f>
        <v/>
      </c>
      <c r="J84" s="85" t="str">
        <f aca="false">IF($L84="","",IF(INDEX(Inv_RecFDS,$L84)=0,"—",INDEX(Inv_RecFDS,$L84)))</f>
        <v/>
      </c>
      <c r="L84" s="0" t="str">
        <f aca="false">IF(ROW()-5&gt;NbProduits,"",MATCH(SMALL(CleFDS,ROW()-5),CleFDS,0))</f>
        <v/>
      </c>
    </row>
    <row r="85" customFormat="false" ht="15" hidden="false" customHeight="false" outlineLevel="0" collapsed="false">
      <c r="A85" s="83" t="str">
        <f aca="false">IF($L85="","",INDEX(Inv_Num,$L85))</f>
        <v/>
      </c>
      <c r="B85" s="67" t="str">
        <f aca="false">IF($L85="","",INDEX(Inv_Nom,$L85))</f>
        <v/>
      </c>
      <c r="C85" s="67" t="str">
        <f aca="false">IF($L85="","",T(INDEX(Inv_Fourn,$L85)))</f>
        <v/>
      </c>
      <c r="D85" s="83" t="str">
        <f aca="false">IF($L85="","",INDEX(Inv_StatutFDS,$L85))</f>
        <v/>
      </c>
      <c r="E85" s="85" t="str">
        <f aca="false">IF($L85="","",IF(INDEX(Inv_DateFDS,$L85)=0,"—",INDEX(Inv_DateFDS,$L85)))</f>
        <v/>
      </c>
      <c r="F85" s="85" t="str">
        <f aca="false">IF($L85="","",IF(INDEX(Inv_ProchVerif,$L85)="","—",INDEX(Inv_ProchVerif,$L85)))</f>
        <v/>
      </c>
      <c r="G85" s="87" t="str">
        <f aca="true">IF($L85="","",IF(OR(F85="—",F85=""),"—",F85-TODAY()))</f>
        <v/>
      </c>
      <c r="H85" s="83" t="str">
        <f aca="false">IF($L85="","",IF(AND(OR(D85="EXPIRÉE",D85="À RENOUVELER",D85="FDS ABSENTE"),J85="—"),"OUI","—"))</f>
        <v/>
      </c>
      <c r="I85" s="85" t="str">
        <f aca="false">IF($L85="","",IF(INDEX(Inv_DemFDS,$L85)=0,"—",INDEX(Inv_DemFDS,$L85)))</f>
        <v/>
      </c>
      <c r="J85" s="85" t="str">
        <f aca="false">IF($L85="","",IF(INDEX(Inv_RecFDS,$L85)=0,"—",INDEX(Inv_RecFDS,$L85)))</f>
        <v/>
      </c>
      <c r="L85" s="0" t="str">
        <f aca="false">IF(ROW()-5&gt;NbProduits,"",MATCH(SMALL(CleFDS,ROW()-5),CleFDS,0))</f>
        <v/>
      </c>
    </row>
    <row r="86" customFormat="false" ht="15" hidden="false" customHeight="false" outlineLevel="0" collapsed="false">
      <c r="A86" s="83" t="str">
        <f aca="false">IF($L86="","",INDEX(Inv_Num,$L86))</f>
        <v/>
      </c>
      <c r="B86" s="67" t="str">
        <f aca="false">IF($L86="","",INDEX(Inv_Nom,$L86))</f>
        <v/>
      </c>
      <c r="C86" s="67" t="str">
        <f aca="false">IF($L86="","",T(INDEX(Inv_Fourn,$L86)))</f>
        <v/>
      </c>
      <c r="D86" s="83" t="str">
        <f aca="false">IF($L86="","",INDEX(Inv_StatutFDS,$L86))</f>
        <v/>
      </c>
      <c r="E86" s="85" t="str">
        <f aca="false">IF($L86="","",IF(INDEX(Inv_DateFDS,$L86)=0,"—",INDEX(Inv_DateFDS,$L86)))</f>
        <v/>
      </c>
      <c r="F86" s="85" t="str">
        <f aca="false">IF($L86="","",IF(INDEX(Inv_ProchVerif,$L86)="","—",INDEX(Inv_ProchVerif,$L86)))</f>
        <v/>
      </c>
      <c r="G86" s="87" t="str">
        <f aca="true">IF($L86="","",IF(OR(F86="—",F86=""),"—",F86-TODAY()))</f>
        <v/>
      </c>
      <c r="H86" s="83" t="str">
        <f aca="false">IF($L86="","",IF(AND(OR(D86="EXPIRÉE",D86="À RENOUVELER",D86="FDS ABSENTE"),J86="—"),"OUI","—"))</f>
        <v/>
      </c>
      <c r="I86" s="85" t="str">
        <f aca="false">IF($L86="","",IF(INDEX(Inv_DemFDS,$L86)=0,"—",INDEX(Inv_DemFDS,$L86)))</f>
        <v/>
      </c>
      <c r="J86" s="85" t="str">
        <f aca="false">IF($L86="","",IF(INDEX(Inv_RecFDS,$L86)=0,"—",INDEX(Inv_RecFDS,$L86)))</f>
        <v/>
      </c>
      <c r="L86" s="0" t="str">
        <f aca="false">IF(ROW()-5&gt;NbProduits,"",MATCH(SMALL(CleFDS,ROW()-5),CleFDS,0))</f>
        <v/>
      </c>
    </row>
    <row r="87" customFormat="false" ht="15" hidden="false" customHeight="false" outlineLevel="0" collapsed="false">
      <c r="A87" s="83" t="str">
        <f aca="false">IF($L87="","",INDEX(Inv_Num,$L87))</f>
        <v/>
      </c>
      <c r="B87" s="67" t="str">
        <f aca="false">IF($L87="","",INDEX(Inv_Nom,$L87))</f>
        <v/>
      </c>
      <c r="C87" s="67" t="str">
        <f aca="false">IF($L87="","",T(INDEX(Inv_Fourn,$L87)))</f>
        <v/>
      </c>
      <c r="D87" s="83" t="str">
        <f aca="false">IF($L87="","",INDEX(Inv_StatutFDS,$L87))</f>
        <v/>
      </c>
      <c r="E87" s="85" t="str">
        <f aca="false">IF($L87="","",IF(INDEX(Inv_DateFDS,$L87)=0,"—",INDEX(Inv_DateFDS,$L87)))</f>
        <v/>
      </c>
      <c r="F87" s="85" t="str">
        <f aca="false">IF($L87="","",IF(INDEX(Inv_ProchVerif,$L87)="","—",INDEX(Inv_ProchVerif,$L87)))</f>
        <v/>
      </c>
      <c r="G87" s="87" t="str">
        <f aca="true">IF($L87="","",IF(OR(F87="—",F87=""),"—",F87-TODAY()))</f>
        <v/>
      </c>
      <c r="H87" s="83" t="str">
        <f aca="false">IF($L87="","",IF(AND(OR(D87="EXPIRÉE",D87="À RENOUVELER",D87="FDS ABSENTE"),J87="—"),"OUI","—"))</f>
        <v/>
      </c>
      <c r="I87" s="85" t="str">
        <f aca="false">IF($L87="","",IF(INDEX(Inv_DemFDS,$L87)=0,"—",INDEX(Inv_DemFDS,$L87)))</f>
        <v/>
      </c>
      <c r="J87" s="85" t="str">
        <f aca="false">IF($L87="","",IF(INDEX(Inv_RecFDS,$L87)=0,"—",INDEX(Inv_RecFDS,$L87)))</f>
        <v/>
      </c>
      <c r="L87" s="0" t="str">
        <f aca="false">IF(ROW()-5&gt;NbProduits,"",MATCH(SMALL(CleFDS,ROW()-5),CleFDS,0))</f>
        <v/>
      </c>
    </row>
    <row r="88" customFormat="false" ht="15" hidden="false" customHeight="false" outlineLevel="0" collapsed="false">
      <c r="A88" s="83" t="str">
        <f aca="false">IF($L88="","",INDEX(Inv_Num,$L88))</f>
        <v/>
      </c>
      <c r="B88" s="67" t="str">
        <f aca="false">IF($L88="","",INDEX(Inv_Nom,$L88))</f>
        <v/>
      </c>
      <c r="C88" s="67" t="str">
        <f aca="false">IF($L88="","",T(INDEX(Inv_Fourn,$L88)))</f>
        <v/>
      </c>
      <c r="D88" s="83" t="str">
        <f aca="false">IF($L88="","",INDEX(Inv_StatutFDS,$L88))</f>
        <v/>
      </c>
      <c r="E88" s="85" t="str">
        <f aca="false">IF($L88="","",IF(INDEX(Inv_DateFDS,$L88)=0,"—",INDEX(Inv_DateFDS,$L88)))</f>
        <v/>
      </c>
      <c r="F88" s="85" t="str">
        <f aca="false">IF($L88="","",IF(INDEX(Inv_ProchVerif,$L88)="","—",INDEX(Inv_ProchVerif,$L88)))</f>
        <v/>
      </c>
      <c r="G88" s="87" t="str">
        <f aca="true">IF($L88="","",IF(OR(F88="—",F88=""),"—",F88-TODAY()))</f>
        <v/>
      </c>
      <c r="H88" s="83" t="str">
        <f aca="false">IF($L88="","",IF(AND(OR(D88="EXPIRÉE",D88="À RENOUVELER",D88="FDS ABSENTE"),J88="—"),"OUI","—"))</f>
        <v/>
      </c>
      <c r="I88" s="85" t="str">
        <f aca="false">IF($L88="","",IF(INDEX(Inv_DemFDS,$L88)=0,"—",INDEX(Inv_DemFDS,$L88)))</f>
        <v/>
      </c>
      <c r="J88" s="85" t="str">
        <f aca="false">IF($L88="","",IF(INDEX(Inv_RecFDS,$L88)=0,"—",INDEX(Inv_RecFDS,$L88)))</f>
        <v/>
      </c>
      <c r="L88" s="0" t="str">
        <f aca="false">IF(ROW()-5&gt;NbProduits,"",MATCH(SMALL(CleFDS,ROW()-5),CleFDS,0))</f>
        <v/>
      </c>
    </row>
    <row r="89" customFormat="false" ht="15" hidden="false" customHeight="false" outlineLevel="0" collapsed="false">
      <c r="A89" s="83" t="str">
        <f aca="false">IF($L89="","",INDEX(Inv_Num,$L89))</f>
        <v/>
      </c>
      <c r="B89" s="67" t="str">
        <f aca="false">IF($L89="","",INDEX(Inv_Nom,$L89))</f>
        <v/>
      </c>
      <c r="C89" s="67" t="str">
        <f aca="false">IF($L89="","",T(INDEX(Inv_Fourn,$L89)))</f>
        <v/>
      </c>
      <c r="D89" s="83" t="str">
        <f aca="false">IF($L89="","",INDEX(Inv_StatutFDS,$L89))</f>
        <v/>
      </c>
      <c r="E89" s="85" t="str">
        <f aca="false">IF($L89="","",IF(INDEX(Inv_DateFDS,$L89)=0,"—",INDEX(Inv_DateFDS,$L89)))</f>
        <v/>
      </c>
      <c r="F89" s="85" t="str">
        <f aca="false">IF($L89="","",IF(INDEX(Inv_ProchVerif,$L89)="","—",INDEX(Inv_ProchVerif,$L89)))</f>
        <v/>
      </c>
      <c r="G89" s="87" t="str">
        <f aca="true">IF($L89="","",IF(OR(F89="—",F89=""),"—",F89-TODAY()))</f>
        <v/>
      </c>
      <c r="H89" s="83" t="str">
        <f aca="false">IF($L89="","",IF(AND(OR(D89="EXPIRÉE",D89="À RENOUVELER",D89="FDS ABSENTE"),J89="—"),"OUI","—"))</f>
        <v/>
      </c>
      <c r="I89" s="85" t="str">
        <f aca="false">IF($L89="","",IF(INDEX(Inv_DemFDS,$L89)=0,"—",INDEX(Inv_DemFDS,$L89)))</f>
        <v/>
      </c>
      <c r="J89" s="85" t="str">
        <f aca="false">IF($L89="","",IF(INDEX(Inv_RecFDS,$L89)=0,"—",INDEX(Inv_RecFDS,$L89)))</f>
        <v/>
      </c>
      <c r="L89" s="0" t="str">
        <f aca="false">IF(ROW()-5&gt;NbProduits,"",MATCH(SMALL(CleFDS,ROW()-5),CleFDS,0))</f>
        <v/>
      </c>
    </row>
    <row r="90" customFormat="false" ht="15" hidden="false" customHeight="false" outlineLevel="0" collapsed="false">
      <c r="A90" s="83" t="str">
        <f aca="false">IF($L90="","",INDEX(Inv_Num,$L90))</f>
        <v/>
      </c>
      <c r="B90" s="67" t="str">
        <f aca="false">IF($L90="","",INDEX(Inv_Nom,$L90))</f>
        <v/>
      </c>
      <c r="C90" s="67" t="str">
        <f aca="false">IF($L90="","",T(INDEX(Inv_Fourn,$L90)))</f>
        <v/>
      </c>
      <c r="D90" s="83" t="str">
        <f aca="false">IF($L90="","",INDEX(Inv_StatutFDS,$L90))</f>
        <v/>
      </c>
      <c r="E90" s="85" t="str">
        <f aca="false">IF($L90="","",IF(INDEX(Inv_DateFDS,$L90)=0,"—",INDEX(Inv_DateFDS,$L90)))</f>
        <v/>
      </c>
      <c r="F90" s="85" t="str">
        <f aca="false">IF($L90="","",IF(INDEX(Inv_ProchVerif,$L90)="","—",INDEX(Inv_ProchVerif,$L90)))</f>
        <v/>
      </c>
      <c r="G90" s="87" t="str">
        <f aca="true">IF($L90="","",IF(OR(F90="—",F90=""),"—",F90-TODAY()))</f>
        <v/>
      </c>
      <c r="H90" s="83" t="str">
        <f aca="false">IF($L90="","",IF(AND(OR(D90="EXPIRÉE",D90="À RENOUVELER",D90="FDS ABSENTE"),J90="—"),"OUI","—"))</f>
        <v/>
      </c>
      <c r="I90" s="85" t="str">
        <f aca="false">IF($L90="","",IF(INDEX(Inv_DemFDS,$L90)=0,"—",INDEX(Inv_DemFDS,$L90)))</f>
        <v/>
      </c>
      <c r="J90" s="85" t="str">
        <f aca="false">IF($L90="","",IF(INDEX(Inv_RecFDS,$L90)=0,"—",INDEX(Inv_RecFDS,$L90)))</f>
        <v/>
      </c>
      <c r="L90" s="0" t="str">
        <f aca="false">IF(ROW()-5&gt;NbProduits,"",MATCH(SMALL(CleFDS,ROW()-5),CleFDS,0))</f>
        <v/>
      </c>
    </row>
    <row r="91" customFormat="false" ht="15" hidden="false" customHeight="false" outlineLevel="0" collapsed="false">
      <c r="A91" s="83" t="str">
        <f aca="false">IF($L91="","",INDEX(Inv_Num,$L91))</f>
        <v/>
      </c>
      <c r="B91" s="67" t="str">
        <f aca="false">IF($L91="","",INDEX(Inv_Nom,$L91))</f>
        <v/>
      </c>
      <c r="C91" s="67" t="str">
        <f aca="false">IF($L91="","",T(INDEX(Inv_Fourn,$L91)))</f>
        <v/>
      </c>
      <c r="D91" s="83" t="str">
        <f aca="false">IF($L91="","",INDEX(Inv_StatutFDS,$L91))</f>
        <v/>
      </c>
      <c r="E91" s="85" t="str">
        <f aca="false">IF($L91="","",IF(INDEX(Inv_DateFDS,$L91)=0,"—",INDEX(Inv_DateFDS,$L91)))</f>
        <v/>
      </c>
      <c r="F91" s="85" t="str">
        <f aca="false">IF($L91="","",IF(INDEX(Inv_ProchVerif,$L91)="","—",INDEX(Inv_ProchVerif,$L91)))</f>
        <v/>
      </c>
      <c r="G91" s="87" t="str">
        <f aca="true">IF($L91="","",IF(OR(F91="—",F91=""),"—",F91-TODAY()))</f>
        <v/>
      </c>
      <c r="H91" s="83" t="str">
        <f aca="false">IF($L91="","",IF(AND(OR(D91="EXPIRÉE",D91="À RENOUVELER",D91="FDS ABSENTE"),J91="—"),"OUI","—"))</f>
        <v/>
      </c>
      <c r="I91" s="85" t="str">
        <f aca="false">IF($L91="","",IF(INDEX(Inv_DemFDS,$L91)=0,"—",INDEX(Inv_DemFDS,$L91)))</f>
        <v/>
      </c>
      <c r="J91" s="85" t="str">
        <f aca="false">IF($L91="","",IF(INDEX(Inv_RecFDS,$L91)=0,"—",INDEX(Inv_RecFDS,$L91)))</f>
        <v/>
      </c>
      <c r="L91" s="0" t="str">
        <f aca="false">IF(ROW()-5&gt;NbProduits,"",MATCH(SMALL(CleFDS,ROW()-5),CleFDS,0))</f>
        <v/>
      </c>
    </row>
    <row r="92" customFormat="false" ht="15" hidden="false" customHeight="false" outlineLevel="0" collapsed="false">
      <c r="A92" s="83" t="str">
        <f aca="false">IF($L92="","",INDEX(Inv_Num,$L92))</f>
        <v/>
      </c>
      <c r="B92" s="67" t="str">
        <f aca="false">IF($L92="","",INDEX(Inv_Nom,$L92))</f>
        <v/>
      </c>
      <c r="C92" s="67" t="str">
        <f aca="false">IF($L92="","",T(INDEX(Inv_Fourn,$L92)))</f>
        <v/>
      </c>
      <c r="D92" s="83" t="str">
        <f aca="false">IF($L92="","",INDEX(Inv_StatutFDS,$L92))</f>
        <v/>
      </c>
      <c r="E92" s="85" t="str">
        <f aca="false">IF($L92="","",IF(INDEX(Inv_DateFDS,$L92)=0,"—",INDEX(Inv_DateFDS,$L92)))</f>
        <v/>
      </c>
      <c r="F92" s="85" t="str">
        <f aca="false">IF($L92="","",IF(INDEX(Inv_ProchVerif,$L92)="","—",INDEX(Inv_ProchVerif,$L92)))</f>
        <v/>
      </c>
      <c r="G92" s="87" t="str">
        <f aca="true">IF($L92="","",IF(OR(F92="—",F92=""),"—",F92-TODAY()))</f>
        <v/>
      </c>
      <c r="H92" s="83" t="str">
        <f aca="false">IF($L92="","",IF(AND(OR(D92="EXPIRÉE",D92="À RENOUVELER",D92="FDS ABSENTE"),J92="—"),"OUI","—"))</f>
        <v/>
      </c>
      <c r="I92" s="85" t="str">
        <f aca="false">IF($L92="","",IF(INDEX(Inv_DemFDS,$L92)=0,"—",INDEX(Inv_DemFDS,$L92)))</f>
        <v/>
      </c>
      <c r="J92" s="85" t="str">
        <f aca="false">IF($L92="","",IF(INDEX(Inv_RecFDS,$L92)=0,"—",INDEX(Inv_RecFDS,$L92)))</f>
        <v/>
      </c>
      <c r="L92" s="0" t="str">
        <f aca="false">IF(ROW()-5&gt;NbProduits,"",MATCH(SMALL(CleFDS,ROW()-5),CleFDS,0))</f>
        <v/>
      </c>
    </row>
    <row r="93" customFormat="false" ht="15" hidden="false" customHeight="false" outlineLevel="0" collapsed="false">
      <c r="A93" s="83" t="str">
        <f aca="false">IF($L93="","",INDEX(Inv_Num,$L93))</f>
        <v/>
      </c>
      <c r="B93" s="67" t="str">
        <f aca="false">IF($L93="","",INDEX(Inv_Nom,$L93))</f>
        <v/>
      </c>
      <c r="C93" s="67" t="str">
        <f aca="false">IF($L93="","",T(INDEX(Inv_Fourn,$L93)))</f>
        <v/>
      </c>
      <c r="D93" s="83" t="str">
        <f aca="false">IF($L93="","",INDEX(Inv_StatutFDS,$L93))</f>
        <v/>
      </c>
      <c r="E93" s="85" t="str">
        <f aca="false">IF($L93="","",IF(INDEX(Inv_DateFDS,$L93)=0,"—",INDEX(Inv_DateFDS,$L93)))</f>
        <v/>
      </c>
      <c r="F93" s="85" t="str">
        <f aca="false">IF($L93="","",IF(INDEX(Inv_ProchVerif,$L93)="","—",INDEX(Inv_ProchVerif,$L93)))</f>
        <v/>
      </c>
      <c r="G93" s="87" t="str">
        <f aca="true">IF($L93="","",IF(OR(F93="—",F93=""),"—",F93-TODAY()))</f>
        <v/>
      </c>
      <c r="H93" s="83" t="str">
        <f aca="false">IF($L93="","",IF(AND(OR(D93="EXPIRÉE",D93="À RENOUVELER",D93="FDS ABSENTE"),J93="—"),"OUI","—"))</f>
        <v/>
      </c>
      <c r="I93" s="85" t="str">
        <f aca="false">IF($L93="","",IF(INDEX(Inv_DemFDS,$L93)=0,"—",INDEX(Inv_DemFDS,$L93)))</f>
        <v/>
      </c>
      <c r="J93" s="85" t="str">
        <f aca="false">IF($L93="","",IF(INDEX(Inv_RecFDS,$L93)=0,"—",INDEX(Inv_RecFDS,$L93)))</f>
        <v/>
      </c>
      <c r="L93" s="0" t="str">
        <f aca="false">IF(ROW()-5&gt;NbProduits,"",MATCH(SMALL(CleFDS,ROW()-5),CleFDS,0))</f>
        <v/>
      </c>
    </row>
    <row r="94" customFormat="false" ht="15" hidden="false" customHeight="false" outlineLevel="0" collapsed="false">
      <c r="A94" s="83" t="str">
        <f aca="false">IF($L94="","",INDEX(Inv_Num,$L94))</f>
        <v/>
      </c>
      <c r="B94" s="67" t="str">
        <f aca="false">IF($L94="","",INDEX(Inv_Nom,$L94))</f>
        <v/>
      </c>
      <c r="C94" s="67" t="str">
        <f aca="false">IF($L94="","",T(INDEX(Inv_Fourn,$L94)))</f>
        <v/>
      </c>
      <c r="D94" s="83" t="str">
        <f aca="false">IF($L94="","",INDEX(Inv_StatutFDS,$L94))</f>
        <v/>
      </c>
      <c r="E94" s="85" t="str">
        <f aca="false">IF($L94="","",IF(INDEX(Inv_DateFDS,$L94)=0,"—",INDEX(Inv_DateFDS,$L94)))</f>
        <v/>
      </c>
      <c r="F94" s="85" t="str">
        <f aca="false">IF($L94="","",IF(INDEX(Inv_ProchVerif,$L94)="","—",INDEX(Inv_ProchVerif,$L94)))</f>
        <v/>
      </c>
      <c r="G94" s="87" t="str">
        <f aca="true">IF($L94="","",IF(OR(F94="—",F94=""),"—",F94-TODAY()))</f>
        <v/>
      </c>
      <c r="H94" s="83" t="str">
        <f aca="false">IF($L94="","",IF(AND(OR(D94="EXPIRÉE",D94="À RENOUVELER",D94="FDS ABSENTE"),J94="—"),"OUI","—"))</f>
        <v/>
      </c>
      <c r="I94" s="85" t="str">
        <f aca="false">IF($L94="","",IF(INDEX(Inv_DemFDS,$L94)=0,"—",INDEX(Inv_DemFDS,$L94)))</f>
        <v/>
      </c>
      <c r="J94" s="85" t="str">
        <f aca="false">IF($L94="","",IF(INDEX(Inv_RecFDS,$L94)=0,"—",INDEX(Inv_RecFDS,$L94)))</f>
        <v/>
      </c>
      <c r="L94" s="0" t="str">
        <f aca="false">IF(ROW()-5&gt;NbProduits,"",MATCH(SMALL(CleFDS,ROW()-5),CleFDS,0))</f>
        <v/>
      </c>
    </row>
    <row r="95" customFormat="false" ht="15" hidden="false" customHeight="false" outlineLevel="0" collapsed="false">
      <c r="A95" s="83" t="str">
        <f aca="false">IF($L95="","",INDEX(Inv_Num,$L95))</f>
        <v/>
      </c>
      <c r="B95" s="67" t="str">
        <f aca="false">IF($L95="","",INDEX(Inv_Nom,$L95))</f>
        <v/>
      </c>
      <c r="C95" s="67" t="str">
        <f aca="false">IF($L95="","",T(INDEX(Inv_Fourn,$L95)))</f>
        <v/>
      </c>
      <c r="D95" s="83" t="str">
        <f aca="false">IF($L95="","",INDEX(Inv_StatutFDS,$L95))</f>
        <v/>
      </c>
      <c r="E95" s="85" t="str">
        <f aca="false">IF($L95="","",IF(INDEX(Inv_DateFDS,$L95)=0,"—",INDEX(Inv_DateFDS,$L95)))</f>
        <v/>
      </c>
      <c r="F95" s="85" t="str">
        <f aca="false">IF($L95="","",IF(INDEX(Inv_ProchVerif,$L95)="","—",INDEX(Inv_ProchVerif,$L95)))</f>
        <v/>
      </c>
      <c r="G95" s="87" t="str">
        <f aca="true">IF($L95="","",IF(OR(F95="—",F95=""),"—",F95-TODAY()))</f>
        <v/>
      </c>
      <c r="H95" s="83" t="str">
        <f aca="false">IF($L95="","",IF(AND(OR(D95="EXPIRÉE",D95="À RENOUVELER",D95="FDS ABSENTE"),J95="—"),"OUI","—"))</f>
        <v/>
      </c>
      <c r="I95" s="85" t="str">
        <f aca="false">IF($L95="","",IF(INDEX(Inv_DemFDS,$L95)=0,"—",INDEX(Inv_DemFDS,$L95)))</f>
        <v/>
      </c>
      <c r="J95" s="85" t="str">
        <f aca="false">IF($L95="","",IF(INDEX(Inv_RecFDS,$L95)=0,"—",INDEX(Inv_RecFDS,$L95)))</f>
        <v/>
      </c>
      <c r="L95" s="0" t="str">
        <f aca="false">IF(ROW()-5&gt;NbProduits,"",MATCH(SMALL(CleFDS,ROW()-5),CleFDS,0))</f>
        <v/>
      </c>
    </row>
    <row r="96" customFormat="false" ht="15" hidden="false" customHeight="false" outlineLevel="0" collapsed="false">
      <c r="A96" s="83" t="str">
        <f aca="false">IF($L96="","",INDEX(Inv_Num,$L96))</f>
        <v/>
      </c>
      <c r="B96" s="67" t="str">
        <f aca="false">IF($L96="","",INDEX(Inv_Nom,$L96))</f>
        <v/>
      </c>
      <c r="C96" s="67" t="str">
        <f aca="false">IF($L96="","",T(INDEX(Inv_Fourn,$L96)))</f>
        <v/>
      </c>
      <c r="D96" s="83" t="str">
        <f aca="false">IF($L96="","",INDEX(Inv_StatutFDS,$L96))</f>
        <v/>
      </c>
      <c r="E96" s="85" t="str">
        <f aca="false">IF($L96="","",IF(INDEX(Inv_DateFDS,$L96)=0,"—",INDEX(Inv_DateFDS,$L96)))</f>
        <v/>
      </c>
      <c r="F96" s="85" t="str">
        <f aca="false">IF($L96="","",IF(INDEX(Inv_ProchVerif,$L96)="","—",INDEX(Inv_ProchVerif,$L96)))</f>
        <v/>
      </c>
      <c r="G96" s="87" t="str">
        <f aca="true">IF($L96="","",IF(OR(F96="—",F96=""),"—",F96-TODAY()))</f>
        <v/>
      </c>
      <c r="H96" s="83" t="str">
        <f aca="false">IF($L96="","",IF(AND(OR(D96="EXPIRÉE",D96="À RENOUVELER",D96="FDS ABSENTE"),J96="—"),"OUI","—"))</f>
        <v/>
      </c>
      <c r="I96" s="85" t="str">
        <f aca="false">IF($L96="","",IF(INDEX(Inv_DemFDS,$L96)=0,"—",INDEX(Inv_DemFDS,$L96)))</f>
        <v/>
      </c>
      <c r="J96" s="85" t="str">
        <f aca="false">IF($L96="","",IF(INDEX(Inv_RecFDS,$L96)=0,"—",INDEX(Inv_RecFDS,$L96)))</f>
        <v/>
      </c>
      <c r="L96" s="0" t="str">
        <f aca="false">IF(ROW()-5&gt;NbProduits,"",MATCH(SMALL(CleFDS,ROW()-5),CleFDS,0))</f>
        <v/>
      </c>
    </row>
    <row r="97" customFormat="false" ht="15" hidden="false" customHeight="false" outlineLevel="0" collapsed="false">
      <c r="A97" s="83" t="str">
        <f aca="false">IF($L97="","",INDEX(Inv_Num,$L97))</f>
        <v/>
      </c>
      <c r="B97" s="67" t="str">
        <f aca="false">IF($L97="","",INDEX(Inv_Nom,$L97))</f>
        <v/>
      </c>
      <c r="C97" s="67" t="str">
        <f aca="false">IF($L97="","",T(INDEX(Inv_Fourn,$L97)))</f>
        <v/>
      </c>
      <c r="D97" s="83" t="str">
        <f aca="false">IF($L97="","",INDEX(Inv_StatutFDS,$L97))</f>
        <v/>
      </c>
      <c r="E97" s="85" t="str">
        <f aca="false">IF($L97="","",IF(INDEX(Inv_DateFDS,$L97)=0,"—",INDEX(Inv_DateFDS,$L97)))</f>
        <v/>
      </c>
      <c r="F97" s="85" t="str">
        <f aca="false">IF($L97="","",IF(INDEX(Inv_ProchVerif,$L97)="","—",INDEX(Inv_ProchVerif,$L97)))</f>
        <v/>
      </c>
      <c r="G97" s="87" t="str">
        <f aca="true">IF($L97="","",IF(OR(F97="—",F97=""),"—",F97-TODAY()))</f>
        <v/>
      </c>
      <c r="H97" s="83" t="str">
        <f aca="false">IF($L97="","",IF(AND(OR(D97="EXPIRÉE",D97="À RENOUVELER",D97="FDS ABSENTE"),J97="—"),"OUI","—"))</f>
        <v/>
      </c>
      <c r="I97" s="85" t="str">
        <f aca="false">IF($L97="","",IF(INDEX(Inv_DemFDS,$L97)=0,"—",INDEX(Inv_DemFDS,$L97)))</f>
        <v/>
      </c>
      <c r="J97" s="85" t="str">
        <f aca="false">IF($L97="","",IF(INDEX(Inv_RecFDS,$L97)=0,"—",INDEX(Inv_RecFDS,$L97)))</f>
        <v/>
      </c>
      <c r="L97" s="0" t="str">
        <f aca="false">IF(ROW()-5&gt;NbProduits,"",MATCH(SMALL(CleFDS,ROW()-5),CleFDS,0))</f>
        <v/>
      </c>
    </row>
    <row r="98" customFormat="false" ht="15" hidden="false" customHeight="false" outlineLevel="0" collapsed="false">
      <c r="A98" s="83" t="str">
        <f aca="false">IF($L98="","",INDEX(Inv_Num,$L98))</f>
        <v/>
      </c>
      <c r="B98" s="67" t="str">
        <f aca="false">IF($L98="","",INDEX(Inv_Nom,$L98))</f>
        <v/>
      </c>
      <c r="C98" s="67" t="str">
        <f aca="false">IF($L98="","",T(INDEX(Inv_Fourn,$L98)))</f>
        <v/>
      </c>
      <c r="D98" s="83" t="str">
        <f aca="false">IF($L98="","",INDEX(Inv_StatutFDS,$L98))</f>
        <v/>
      </c>
      <c r="E98" s="85" t="str">
        <f aca="false">IF($L98="","",IF(INDEX(Inv_DateFDS,$L98)=0,"—",INDEX(Inv_DateFDS,$L98)))</f>
        <v/>
      </c>
      <c r="F98" s="85" t="str">
        <f aca="false">IF($L98="","",IF(INDEX(Inv_ProchVerif,$L98)="","—",INDEX(Inv_ProchVerif,$L98)))</f>
        <v/>
      </c>
      <c r="G98" s="87" t="str">
        <f aca="true">IF($L98="","",IF(OR(F98="—",F98=""),"—",F98-TODAY()))</f>
        <v/>
      </c>
      <c r="H98" s="83" t="str">
        <f aca="false">IF($L98="","",IF(AND(OR(D98="EXPIRÉE",D98="À RENOUVELER",D98="FDS ABSENTE"),J98="—"),"OUI","—"))</f>
        <v/>
      </c>
      <c r="I98" s="85" t="str">
        <f aca="false">IF($L98="","",IF(INDEX(Inv_DemFDS,$L98)=0,"—",INDEX(Inv_DemFDS,$L98)))</f>
        <v/>
      </c>
      <c r="J98" s="85" t="str">
        <f aca="false">IF($L98="","",IF(INDEX(Inv_RecFDS,$L98)=0,"—",INDEX(Inv_RecFDS,$L98)))</f>
        <v/>
      </c>
      <c r="L98" s="0" t="str">
        <f aca="false">IF(ROW()-5&gt;NbProduits,"",MATCH(SMALL(CleFDS,ROW()-5),CleFDS,0))</f>
        <v/>
      </c>
    </row>
    <row r="99" customFormat="false" ht="15" hidden="false" customHeight="false" outlineLevel="0" collapsed="false">
      <c r="A99" s="83" t="str">
        <f aca="false">IF($L99="","",INDEX(Inv_Num,$L99))</f>
        <v/>
      </c>
      <c r="B99" s="67" t="str">
        <f aca="false">IF($L99="","",INDEX(Inv_Nom,$L99))</f>
        <v/>
      </c>
      <c r="C99" s="67" t="str">
        <f aca="false">IF($L99="","",T(INDEX(Inv_Fourn,$L99)))</f>
        <v/>
      </c>
      <c r="D99" s="83" t="str">
        <f aca="false">IF($L99="","",INDEX(Inv_StatutFDS,$L99))</f>
        <v/>
      </c>
      <c r="E99" s="85" t="str">
        <f aca="false">IF($L99="","",IF(INDEX(Inv_DateFDS,$L99)=0,"—",INDEX(Inv_DateFDS,$L99)))</f>
        <v/>
      </c>
      <c r="F99" s="85" t="str">
        <f aca="false">IF($L99="","",IF(INDEX(Inv_ProchVerif,$L99)="","—",INDEX(Inv_ProchVerif,$L99)))</f>
        <v/>
      </c>
      <c r="G99" s="87" t="str">
        <f aca="true">IF($L99="","",IF(OR(F99="—",F99=""),"—",F99-TODAY()))</f>
        <v/>
      </c>
      <c r="H99" s="83" t="str">
        <f aca="false">IF($L99="","",IF(AND(OR(D99="EXPIRÉE",D99="À RENOUVELER",D99="FDS ABSENTE"),J99="—"),"OUI","—"))</f>
        <v/>
      </c>
      <c r="I99" s="85" t="str">
        <f aca="false">IF($L99="","",IF(INDEX(Inv_DemFDS,$L99)=0,"—",INDEX(Inv_DemFDS,$L99)))</f>
        <v/>
      </c>
      <c r="J99" s="85" t="str">
        <f aca="false">IF($L99="","",IF(INDEX(Inv_RecFDS,$L99)=0,"—",INDEX(Inv_RecFDS,$L99)))</f>
        <v/>
      </c>
      <c r="L99" s="0" t="str">
        <f aca="false">IF(ROW()-5&gt;NbProduits,"",MATCH(SMALL(CleFDS,ROW()-5),CleFDS,0))</f>
        <v/>
      </c>
    </row>
    <row r="100" customFormat="false" ht="15" hidden="false" customHeight="false" outlineLevel="0" collapsed="false">
      <c r="A100" s="83" t="str">
        <f aca="false">IF($L100="","",INDEX(Inv_Num,$L100))</f>
        <v/>
      </c>
      <c r="B100" s="67" t="str">
        <f aca="false">IF($L100="","",INDEX(Inv_Nom,$L100))</f>
        <v/>
      </c>
      <c r="C100" s="67" t="str">
        <f aca="false">IF($L100="","",T(INDEX(Inv_Fourn,$L100)))</f>
        <v/>
      </c>
      <c r="D100" s="83" t="str">
        <f aca="false">IF($L100="","",INDEX(Inv_StatutFDS,$L100))</f>
        <v/>
      </c>
      <c r="E100" s="85" t="str">
        <f aca="false">IF($L100="","",IF(INDEX(Inv_DateFDS,$L100)=0,"—",INDEX(Inv_DateFDS,$L100)))</f>
        <v/>
      </c>
      <c r="F100" s="85" t="str">
        <f aca="false">IF($L100="","",IF(INDEX(Inv_ProchVerif,$L100)="","—",INDEX(Inv_ProchVerif,$L100)))</f>
        <v/>
      </c>
      <c r="G100" s="87" t="str">
        <f aca="true">IF($L100="","",IF(OR(F100="—",F100=""),"—",F100-TODAY()))</f>
        <v/>
      </c>
      <c r="H100" s="83" t="str">
        <f aca="false">IF($L100="","",IF(AND(OR(D100="EXPIRÉE",D100="À RENOUVELER",D100="FDS ABSENTE"),J100="—"),"OUI","—"))</f>
        <v/>
      </c>
      <c r="I100" s="85" t="str">
        <f aca="false">IF($L100="","",IF(INDEX(Inv_DemFDS,$L100)=0,"—",INDEX(Inv_DemFDS,$L100)))</f>
        <v/>
      </c>
      <c r="J100" s="85" t="str">
        <f aca="false">IF($L100="","",IF(INDEX(Inv_RecFDS,$L100)=0,"—",INDEX(Inv_RecFDS,$L100)))</f>
        <v/>
      </c>
      <c r="L100" s="0" t="str">
        <f aca="false">IF(ROW()-5&gt;NbProduits,"",MATCH(SMALL(CleFDS,ROW()-5),CleFDS,0))</f>
        <v/>
      </c>
    </row>
    <row r="101" customFormat="false" ht="15" hidden="false" customHeight="false" outlineLevel="0" collapsed="false">
      <c r="A101" s="83" t="str">
        <f aca="false">IF($L101="","",INDEX(Inv_Num,$L101))</f>
        <v/>
      </c>
      <c r="B101" s="67" t="str">
        <f aca="false">IF($L101="","",INDEX(Inv_Nom,$L101))</f>
        <v/>
      </c>
      <c r="C101" s="67" t="str">
        <f aca="false">IF($L101="","",T(INDEX(Inv_Fourn,$L101)))</f>
        <v/>
      </c>
      <c r="D101" s="83" t="str">
        <f aca="false">IF($L101="","",INDEX(Inv_StatutFDS,$L101))</f>
        <v/>
      </c>
      <c r="E101" s="85" t="str">
        <f aca="false">IF($L101="","",IF(INDEX(Inv_DateFDS,$L101)=0,"—",INDEX(Inv_DateFDS,$L101)))</f>
        <v/>
      </c>
      <c r="F101" s="85" t="str">
        <f aca="false">IF($L101="","",IF(INDEX(Inv_ProchVerif,$L101)="","—",INDEX(Inv_ProchVerif,$L101)))</f>
        <v/>
      </c>
      <c r="G101" s="87" t="str">
        <f aca="true">IF($L101="","",IF(OR(F101="—",F101=""),"—",F101-TODAY()))</f>
        <v/>
      </c>
      <c r="H101" s="83" t="str">
        <f aca="false">IF($L101="","",IF(AND(OR(D101="EXPIRÉE",D101="À RENOUVELER",D101="FDS ABSENTE"),J101="—"),"OUI","—"))</f>
        <v/>
      </c>
      <c r="I101" s="85" t="str">
        <f aca="false">IF($L101="","",IF(INDEX(Inv_DemFDS,$L101)=0,"—",INDEX(Inv_DemFDS,$L101)))</f>
        <v/>
      </c>
      <c r="J101" s="85" t="str">
        <f aca="false">IF($L101="","",IF(INDEX(Inv_RecFDS,$L101)=0,"—",INDEX(Inv_RecFDS,$L101)))</f>
        <v/>
      </c>
      <c r="L101" s="0" t="str">
        <f aca="false">IF(ROW()-5&gt;NbProduits,"",MATCH(SMALL(CleFDS,ROW()-5),CleFDS,0))</f>
        <v/>
      </c>
    </row>
    <row r="102" customFormat="false" ht="15" hidden="false" customHeight="false" outlineLevel="0" collapsed="false">
      <c r="A102" s="83" t="str">
        <f aca="false">IF($L102="","",INDEX(Inv_Num,$L102))</f>
        <v/>
      </c>
      <c r="B102" s="67" t="str">
        <f aca="false">IF($L102="","",INDEX(Inv_Nom,$L102))</f>
        <v/>
      </c>
      <c r="C102" s="67" t="str">
        <f aca="false">IF($L102="","",T(INDEX(Inv_Fourn,$L102)))</f>
        <v/>
      </c>
      <c r="D102" s="83" t="str">
        <f aca="false">IF($L102="","",INDEX(Inv_StatutFDS,$L102))</f>
        <v/>
      </c>
      <c r="E102" s="85" t="str">
        <f aca="false">IF($L102="","",IF(INDEX(Inv_DateFDS,$L102)=0,"—",INDEX(Inv_DateFDS,$L102)))</f>
        <v/>
      </c>
      <c r="F102" s="85" t="str">
        <f aca="false">IF($L102="","",IF(INDEX(Inv_ProchVerif,$L102)="","—",INDEX(Inv_ProchVerif,$L102)))</f>
        <v/>
      </c>
      <c r="G102" s="87" t="str">
        <f aca="true">IF($L102="","",IF(OR(F102="—",F102=""),"—",F102-TODAY()))</f>
        <v/>
      </c>
      <c r="H102" s="83" t="str">
        <f aca="false">IF($L102="","",IF(AND(OR(D102="EXPIRÉE",D102="À RENOUVELER",D102="FDS ABSENTE"),J102="—"),"OUI","—"))</f>
        <v/>
      </c>
      <c r="I102" s="85" t="str">
        <f aca="false">IF($L102="","",IF(INDEX(Inv_DemFDS,$L102)=0,"—",INDEX(Inv_DemFDS,$L102)))</f>
        <v/>
      </c>
      <c r="J102" s="85" t="str">
        <f aca="false">IF($L102="","",IF(INDEX(Inv_RecFDS,$L102)=0,"—",INDEX(Inv_RecFDS,$L102)))</f>
        <v/>
      </c>
      <c r="L102" s="0" t="str">
        <f aca="false">IF(ROW()-5&gt;NbProduits,"",MATCH(SMALL(CleFDS,ROW()-5),CleFDS,0))</f>
        <v/>
      </c>
    </row>
    <row r="103" customFormat="false" ht="15" hidden="false" customHeight="false" outlineLevel="0" collapsed="false">
      <c r="A103" s="83" t="str">
        <f aca="false">IF($L103="","",INDEX(Inv_Num,$L103))</f>
        <v/>
      </c>
      <c r="B103" s="67" t="str">
        <f aca="false">IF($L103="","",INDEX(Inv_Nom,$L103))</f>
        <v/>
      </c>
      <c r="C103" s="67" t="str">
        <f aca="false">IF($L103="","",T(INDEX(Inv_Fourn,$L103)))</f>
        <v/>
      </c>
      <c r="D103" s="83" t="str">
        <f aca="false">IF($L103="","",INDEX(Inv_StatutFDS,$L103))</f>
        <v/>
      </c>
      <c r="E103" s="85" t="str">
        <f aca="false">IF($L103="","",IF(INDEX(Inv_DateFDS,$L103)=0,"—",INDEX(Inv_DateFDS,$L103)))</f>
        <v/>
      </c>
      <c r="F103" s="85" t="str">
        <f aca="false">IF($L103="","",IF(INDEX(Inv_ProchVerif,$L103)="","—",INDEX(Inv_ProchVerif,$L103)))</f>
        <v/>
      </c>
      <c r="G103" s="87" t="str">
        <f aca="true">IF($L103="","",IF(OR(F103="—",F103=""),"—",F103-TODAY()))</f>
        <v/>
      </c>
      <c r="H103" s="83" t="str">
        <f aca="false">IF($L103="","",IF(AND(OR(D103="EXPIRÉE",D103="À RENOUVELER",D103="FDS ABSENTE"),J103="—"),"OUI","—"))</f>
        <v/>
      </c>
      <c r="I103" s="85" t="str">
        <f aca="false">IF($L103="","",IF(INDEX(Inv_DemFDS,$L103)=0,"—",INDEX(Inv_DemFDS,$L103)))</f>
        <v/>
      </c>
      <c r="J103" s="85" t="str">
        <f aca="false">IF($L103="","",IF(INDEX(Inv_RecFDS,$L103)=0,"—",INDEX(Inv_RecFDS,$L103)))</f>
        <v/>
      </c>
      <c r="L103" s="0" t="str">
        <f aca="false">IF(ROW()-5&gt;NbProduits,"",MATCH(SMALL(CleFDS,ROW()-5),CleFDS,0))</f>
        <v/>
      </c>
    </row>
    <row r="104" customFormat="false" ht="15" hidden="false" customHeight="false" outlineLevel="0" collapsed="false">
      <c r="A104" s="83" t="str">
        <f aca="false">IF($L104="","",INDEX(Inv_Num,$L104))</f>
        <v/>
      </c>
      <c r="B104" s="67" t="str">
        <f aca="false">IF($L104="","",INDEX(Inv_Nom,$L104))</f>
        <v/>
      </c>
      <c r="C104" s="67" t="str">
        <f aca="false">IF($L104="","",T(INDEX(Inv_Fourn,$L104)))</f>
        <v/>
      </c>
      <c r="D104" s="83" t="str">
        <f aca="false">IF($L104="","",INDEX(Inv_StatutFDS,$L104))</f>
        <v/>
      </c>
      <c r="E104" s="85" t="str">
        <f aca="false">IF($L104="","",IF(INDEX(Inv_DateFDS,$L104)=0,"—",INDEX(Inv_DateFDS,$L104)))</f>
        <v/>
      </c>
      <c r="F104" s="85" t="str">
        <f aca="false">IF($L104="","",IF(INDEX(Inv_ProchVerif,$L104)="","—",INDEX(Inv_ProchVerif,$L104)))</f>
        <v/>
      </c>
      <c r="G104" s="87" t="str">
        <f aca="true">IF($L104="","",IF(OR(F104="—",F104=""),"—",F104-TODAY()))</f>
        <v/>
      </c>
      <c r="H104" s="83" t="str">
        <f aca="false">IF($L104="","",IF(AND(OR(D104="EXPIRÉE",D104="À RENOUVELER",D104="FDS ABSENTE"),J104="—"),"OUI","—"))</f>
        <v/>
      </c>
      <c r="I104" s="85" t="str">
        <f aca="false">IF($L104="","",IF(INDEX(Inv_DemFDS,$L104)=0,"—",INDEX(Inv_DemFDS,$L104)))</f>
        <v/>
      </c>
      <c r="J104" s="85" t="str">
        <f aca="false">IF($L104="","",IF(INDEX(Inv_RecFDS,$L104)=0,"—",INDEX(Inv_RecFDS,$L104)))</f>
        <v/>
      </c>
      <c r="L104" s="0" t="str">
        <f aca="false">IF(ROW()-5&gt;NbProduits,"",MATCH(SMALL(CleFDS,ROW()-5),CleFDS,0))</f>
        <v/>
      </c>
    </row>
    <row r="105" customFormat="false" ht="15" hidden="false" customHeight="false" outlineLevel="0" collapsed="false">
      <c r="A105" s="83" t="str">
        <f aca="false">IF($L105="","",INDEX(Inv_Num,$L105))</f>
        <v/>
      </c>
      <c r="B105" s="67" t="str">
        <f aca="false">IF($L105="","",INDEX(Inv_Nom,$L105))</f>
        <v/>
      </c>
      <c r="C105" s="67" t="str">
        <f aca="false">IF($L105="","",T(INDEX(Inv_Fourn,$L105)))</f>
        <v/>
      </c>
      <c r="D105" s="83" t="str">
        <f aca="false">IF($L105="","",INDEX(Inv_StatutFDS,$L105))</f>
        <v/>
      </c>
      <c r="E105" s="85" t="str">
        <f aca="false">IF($L105="","",IF(INDEX(Inv_DateFDS,$L105)=0,"—",INDEX(Inv_DateFDS,$L105)))</f>
        <v/>
      </c>
      <c r="F105" s="85" t="str">
        <f aca="false">IF($L105="","",IF(INDEX(Inv_ProchVerif,$L105)="","—",INDEX(Inv_ProchVerif,$L105)))</f>
        <v/>
      </c>
      <c r="G105" s="87" t="str">
        <f aca="true">IF($L105="","",IF(OR(F105="—",F105=""),"—",F105-TODAY()))</f>
        <v/>
      </c>
      <c r="H105" s="83" t="str">
        <f aca="false">IF($L105="","",IF(AND(OR(D105="EXPIRÉE",D105="À RENOUVELER",D105="FDS ABSENTE"),J105="—"),"OUI","—"))</f>
        <v/>
      </c>
      <c r="I105" s="85" t="str">
        <f aca="false">IF($L105="","",IF(INDEX(Inv_DemFDS,$L105)=0,"—",INDEX(Inv_DemFDS,$L105)))</f>
        <v/>
      </c>
      <c r="J105" s="85" t="str">
        <f aca="false">IF($L105="","",IF(INDEX(Inv_RecFDS,$L105)=0,"—",INDEX(Inv_RecFDS,$L105)))</f>
        <v/>
      </c>
      <c r="L105" s="0" t="str">
        <f aca="false">IF(ROW()-5&gt;NbProduits,"",MATCH(SMALL(CleFDS,ROW()-5),CleFDS,0))</f>
        <v/>
      </c>
    </row>
    <row r="106" customFormat="false" ht="15" hidden="false" customHeight="false" outlineLevel="0" collapsed="false">
      <c r="A106" s="83" t="str">
        <f aca="false">IF($L106="","",INDEX(Inv_Num,$L106))</f>
        <v/>
      </c>
      <c r="B106" s="67" t="str">
        <f aca="false">IF($L106="","",INDEX(Inv_Nom,$L106))</f>
        <v/>
      </c>
      <c r="C106" s="67" t="str">
        <f aca="false">IF($L106="","",T(INDEX(Inv_Fourn,$L106)))</f>
        <v/>
      </c>
      <c r="D106" s="83" t="str">
        <f aca="false">IF($L106="","",INDEX(Inv_StatutFDS,$L106))</f>
        <v/>
      </c>
      <c r="E106" s="85" t="str">
        <f aca="false">IF($L106="","",IF(INDEX(Inv_DateFDS,$L106)=0,"—",INDEX(Inv_DateFDS,$L106)))</f>
        <v/>
      </c>
      <c r="F106" s="85" t="str">
        <f aca="false">IF($L106="","",IF(INDEX(Inv_ProchVerif,$L106)="","—",INDEX(Inv_ProchVerif,$L106)))</f>
        <v/>
      </c>
      <c r="G106" s="87" t="str">
        <f aca="true">IF($L106="","",IF(OR(F106="—",F106=""),"—",F106-TODAY()))</f>
        <v/>
      </c>
      <c r="H106" s="83" t="str">
        <f aca="false">IF($L106="","",IF(AND(OR(D106="EXPIRÉE",D106="À RENOUVELER",D106="FDS ABSENTE"),J106="—"),"OUI","—"))</f>
        <v/>
      </c>
      <c r="I106" s="85" t="str">
        <f aca="false">IF($L106="","",IF(INDEX(Inv_DemFDS,$L106)=0,"—",INDEX(Inv_DemFDS,$L106)))</f>
        <v/>
      </c>
      <c r="J106" s="85" t="str">
        <f aca="false">IF($L106="","",IF(INDEX(Inv_RecFDS,$L106)=0,"—",INDEX(Inv_RecFDS,$L106)))</f>
        <v/>
      </c>
      <c r="L106" s="0" t="str">
        <f aca="false">IF(ROW()-5&gt;NbProduits,"",MATCH(SMALL(CleFDS,ROW()-5),CleFDS,0))</f>
        <v/>
      </c>
    </row>
    <row r="107" customFormat="false" ht="15" hidden="false" customHeight="false" outlineLevel="0" collapsed="false">
      <c r="A107" s="83" t="str">
        <f aca="false">IF($L107="","",INDEX(Inv_Num,$L107))</f>
        <v/>
      </c>
      <c r="B107" s="67" t="str">
        <f aca="false">IF($L107="","",INDEX(Inv_Nom,$L107))</f>
        <v/>
      </c>
      <c r="C107" s="67" t="str">
        <f aca="false">IF($L107="","",T(INDEX(Inv_Fourn,$L107)))</f>
        <v/>
      </c>
      <c r="D107" s="83" t="str">
        <f aca="false">IF($L107="","",INDEX(Inv_StatutFDS,$L107))</f>
        <v/>
      </c>
      <c r="E107" s="85" t="str">
        <f aca="false">IF($L107="","",IF(INDEX(Inv_DateFDS,$L107)=0,"—",INDEX(Inv_DateFDS,$L107)))</f>
        <v/>
      </c>
      <c r="F107" s="85" t="str">
        <f aca="false">IF($L107="","",IF(INDEX(Inv_ProchVerif,$L107)="","—",INDEX(Inv_ProchVerif,$L107)))</f>
        <v/>
      </c>
      <c r="G107" s="87" t="str">
        <f aca="true">IF($L107="","",IF(OR(F107="—",F107=""),"—",F107-TODAY()))</f>
        <v/>
      </c>
      <c r="H107" s="83" t="str">
        <f aca="false">IF($L107="","",IF(AND(OR(D107="EXPIRÉE",D107="À RENOUVELER",D107="FDS ABSENTE"),J107="—"),"OUI","—"))</f>
        <v/>
      </c>
      <c r="I107" s="85" t="str">
        <f aca="false">IF($L107="","",IF(INDEX(Inv_DemFDS,$L107)=0,"—",INDEX(Inv_DemFDS,$L107)))</f>
        <v/>
      </c>
      <c r="J107" s="85" t="str">
        <f aca="false">IF($L107="","",IF(INDEX(Inv_RecFDS,$L107)=0,"—",INDEX(Inv_RecFDS,$L107)))</f>
        <v/>
      </c>
      <c r="L107" s="0" t="str">
        <f aca="false">IF(ROW()-5&gt;NbProduits,"",MATCH(SMALL(CleFDS,ROW()-5),CleFDS,0))</f>
        <v/>
      </c>
    </row>
    <row r="108" customFormat="false" ht="15" hidden="false" customHeight="false" outlineLevel="0" collapsed="false">
      <c r="A108" s="83" t="str">
        <f aca="false">IF($L108="","",INDEX(Inv_Num,$L108))</f>
        <v/>
      </c>
      <c r="B108" s="67" t="str">
        <f aca="false">IF($L108="","",INDEX(Inv_Nom,$L108))</f>
        <v/>
      </c>
      <c r="C108" s="67" t="str">
        <f aca="false">IF($L108="","",T(INDEX(Inv_Fourn,$L108)))</f>
        <v/>
      </c>
      <c r="D108" s="83" t="str">
        <f aca="false">IF($L108="","",INDEX(Inv_StatutFDS,$L108))</f>
        <v/>
      </c>
      <c r="E108" s="85" t="str">
        <f aca="false">IF($L108="","",IF(INDEX(Inv_DateFDS,$L108)=0,"—",INDEX(Inv_DateFDS,$L108)))</f>
        <v/>
      </c>
      <c r="F108" s="85" t="str">
        <f aca="false">IF($L108="","",IF(INDEX(Inv_ProchVerif,$L108)="","—",INDEX(Inv_ProchVerif,$L108)))</f>
        <v/>
      </c>
      <c r="G108" s="87" t="str">
        <f aca="true">IF($L108="","",IF(OR(F108="—",F108=""),"—",F108-TODAY()))</f>
        <v/>
      </c>
      <c r="H108" s="83" t="str">
        <f aca="false">IF($L108="","",IF(AND(OR(D108="EXPIRÉE",D108="À RENOUVELER",D108="FDS ABSENTE"),J108="—"),"OUI","—"))</f>
        <v/>
      </c>
      <c r="I108" s="85" t="str">
        <f aca="false">IF($L108="","",IF(INDEX(Inv_DemFDS,$L108)=0,"—",INDEX(Inv_DemFDS,$L108)))</f>
        <v/>
      </c>
      <c r="J108" s="85" t="str">
        <f aca="false">IF($L108="","",IF(INDEX(Inv_RecFDS,$L108)=0,"—",INDEX(Inv_RecFDS,$L108)))</f>
        <v/>
      </c>
      <c r="L108" s="0" t="str">
        <f aca="false">IF(ROW()-5&gt;NbProduits,"",MATCH(SMALL(CleFDS,ROW()-5),CleFDS,0))</f>
        <v/>
      </c>
    </row>
    <row r="109" customFormat="false" ht="15" hidden="false" customHeight="false" outlineLevel="0" collapsed="false">
      <c r="A109" s="83" t="str">
        <f aca="false">IF($L109="","",INDEX(Inv_Num,$L109))</f>
        <v/>
      </c>
      <c r="B109" s="67" t="str">
        <f aca="false">IF($L109="","",INDEX(Inv_Nom,$L109))</f>
        <v/>
      </c>
      <c r="C109" s="67" t="str">
        <f aca="false">IF($L109="","",T(INDEX(Inv_Fourn,$L109)))</f>
        <v/>
      </c>
      <c r="D109" s="83" t="str">
        <f aca="false">IF($L109="","",INDEX(Inv_StatutFDS,$L109))</f>
        <v/>
      </c>
      <c r="E109" s="85" t="str">
        <f aca="false">IF($L109="","",IF(INDEX(Inv_DateFDS,$L109)=0,"—",INDEX(Inv_DateFDS,$L109)))</f>
        <v/>
      </c>
      <c r="F109" s="85" t="str">
        <f aca="false">IF($L109="","",IF(INDEX(Inv_ProchVerif,$L109)="","—",INDEX(Inv_ProchVerif,$L109)))</f>
        <v/>
      </c>
      <c r="G109" s="87" t="str">
        <f aca="true">IF($L109="","",IF(OR(F109="—",F109=""),"—",F109-TODAY()))</f>
        <v/>
      </c>
      <c r="H109" s="83" t="str">
        <f aca="false">IF($L109="","",IF(AND(OR(D109="EXPIRÉE",D109="À RENOUVELER",D109="FDS ABSENTE"),J109="—"),"OUI","—"))</f>
        <v/>
      </c>
      <c r="I109" s="85" t="str">
        <f aca="false">IF($L109="","",IF(INDEX(Inv_DemFDS,$L109)=0,"—",INDEX(Inv_DemFDS,$L109)))</f>
        <v/>
      </c>
      <c r="J109" s="85" t="str">
        <f aca="false">IF($L109="","",IF(INDEX(Inv_RecFDS,$L109)=0,"—",INDEX(Inv_RecFDS,$L109)))</f>
        <v/>
      </c>
      <c r="L109" s="0" t="str">
        <f aca="false">IF(ROW()-5&gt;NbProduits,"",MATCH(SMALL(CleFDS,ROW()-5),CleFDS,0))</f>
        <v/>
      </c>
    </row>
    <row r="110" customFormat="false" ht="15" hidden="false" customHeight="false" outlineLevel="0" collapsed="false">
      <c r="A110" s="83" t="str">
        <f aca="false">IF($L110="","",INDEX(Inv_Num,$L110))</f>
        <v/>
      </c>
      <c r="B110" s="67" t="str">
        <f aca="false">IF($L110="","",INDEX(Inv_Nom,$L110))</f>
        <v/>
      </c>
      <c r="C110" s="67" t="str">
        <f aca="false">IF($L110="","",T(INDEX(Inv_Fourn,$L110)))</f>
        <v/>
      </c>
      <c r="D110" s="83" t="str">
        <f aca="false">IF($L110="","",INDEX(Inv_StatutFDS,$L110))</f>
        <v/>
      </c>
      <c r="E110" s="85" t="str">
        <f aca="false">IF($L110="","",IF(INDEX(Inv_DateFDS,$L110)=0,"—",INDEX(Inv_DateFDS,$L110)))</f>
        <v/>
      </c>
      <c r="F110" s="85" t="str">
        <f aca="false">IF($L110="","",IF(INDEX(Inv_ProchVerif,$L110)="","—",INDEX(Inv_ProchVerif,$L110)))</f>
        <v/>
      </c>
      <c r="G110" s="87" t="str">
        <f aca="true">IF($L110="","",IF(OR(F110="—",F110=""),"—",F110-TODAY()))</f>
        <v/>
      </c>
      <c r="H110" s="83" t="str">
        <f aca="false">IF($L110="","",IF(AND(OR(D110="EXPIRÉE",D110="À RENOUVELER",D110="FDS ABSENTE"),J110="—"),"OUI","—"))</f>
        <v/>
      </c>
      <c r="I110" s="85" t="str">
        <f aca="false">IF($L110="","",IF(INDEX(Inv_DemFDS,$L110)=0,"—",INDEX(Inv_DemFDS,$L110)))</f>
        <v/>
      </c>
      <c r="J110" s="85" t="str">
        <f aca="false">IF($L110="","",IF(INDEX(Inv_RecFDS,$L110)=0,"—",INDEX(Inv_RecFDS,$L110)))</f>
        <v/>
      </c>
      <c r="L110" s="0" t="str">
        <f aca="false">IF(ROW()-5&gt;NbProduits,"",MATCH(SMALL(CleFDS,ROW()-5),CleFDS,0))</f>
        <v/>
      </c>
    </row>
    <row r="111" customFormat="false" ht="15" hidden="false" customHeight="false" outlineLevel="0" collapsed="false">
      <c r="A111" s="83" t="str">
        <f aca="false">IF($L111="","",INDEX(Inv_Num,$L111))</f>
        <v/>
      </c>
      <c r="B111" s="67" t="str">
        <f aca="false">IF($L111="","",INDEX(Inv_Nom,$L111))</f>
        <v/>
      </c>
      <c r="C111" s="67" t="str">
        <f aca="false">IF($L111="","",T(INDEX(Inv_Fourn,$L111)))</f>
        <v/>
      </c>
      <c r="D111" s="83" t="str">
        <f aca="false">IF($L111="","",INDEX(Inv_StatutFDS,$L111))</f>
        <v/>
      </c>
      <c r="E111" s="85" t="str">
        <f aca="false">IF($L111="","",IF(INDEX(Inv_DateFDS,$L111)=0,"—",INDEX(Inv_DateFDS,$L111)))</f>
        <v/>
      </c>
      <c r="F111" s="85" t="str">
        <f aca="false">IF($L111="","",IF(INDEX(Inv_ProchVerif,$L111)="","—",INDEX(Inv_ProchVerif,$L111)))</f>
        <v/>
      </c>
      <c r="G111" s="87" t="str">
        <f aca="true">IF($L111="","",IF(OR(F111="—",F111=""),"—",F111-TODAY()))</f>
        <v/>
      </c>
      <c r="H111" s="83" t="str">
        <f aca="false">IF($L111="","",IF(AND(OR(D111="EXPIRÉE",D111="À RENOUVELER",D111="FDS ABSENTE"),J111="—"),"OUI","—"))</f>
        <v/>
      </c>
      <c r="I111" s="85" t="str">
        <f aca="false">IF($L111="","",IF(INDEX(Inv_DemFDS,$L111)=0,"—",INDEX(Inv_DemFDS,$L111)))</f>
        <v/>
      </c>
      <c r="J111" s="85" t="str">
        <f aca="false">IF($L111="","",IF(INDEX(Inv_RecFDS,$L111)=0,"—",INDEX(Inv_RecFDS,$L111)))</f>
        <v/>
      </c>
      <c r="L111" s="0" t="str">
        <f aca="false">IF(ROW()-5&gt;NbProduits,"",MATCH(SMALL(CleFDS,ROW()-5),CleFDS,0))</f>
        <v/>
      </c>
    </row>
    <row r="112" customFormat="false" ht="15" hidden="false" customHeight="false" outlineLevel="0" collapsed="false">
      <c r="A112" s="83" t="str">
        <f aca="false">IF($L112="","",INDEX(Inv_Num,$L112))</f>
        <v/>
      </c>
      <c r="B112" s="67" t="str">
        <f aca="false">IF($L112="","",INDEX(Inv_Nom,$L112))</f>
        <v/>
      </c>
      <c r="C112" s="67" t="str">
        <f aca="false">IF($L112="","",T(INDEX(Inv_Fourn,$L112)))</f>
        <v/>
      </c>
      <c r="D112" s="83" t="str">
        <f aca="false">IF($L112="","",INDEX(Inv_StatutFDS,$L112))</f>
        <v/>
      </c>
      <c r="E112" s="85" t="str">
        <f aca="false">IF($L112="","",IF(INDEX(Inv_DateFDS,$L112)=0,"—",INDEX(Inv_DateFDS,$L112)))</f>
        <v/>
      </c>
      <c r="F112" s="85" t="str">
        <f aca="false">IF($L112="","",IF(INDEX(Inv_ProchVerif,$L112)="","—",INDEX(Inv_ProchVerif,$L112)))</f>
        <v/>
      </c>
      <c r="G112" s="87" t="str">
        <f aca="true">IF($L112="","",IF(OR(F112="—",F112=""),"—",F112-TODAY()))</f>
        <v/>
      </c>
      <c r="H112" s="83" t="str">
        <f aca="false">IF($L112="","",IF(AND(OR(D112="EXPIRÉE",D112="À RENOUVELER",D112="FDS ABSENTE"),J112="—"),"OUI","—"))</f>
        <v/>
      </c>
      <c r="I112" s="85" t="str">
        <f aca="false">IF($L112="","",IF(INDEX(Inv_DemFDS,$L112)=0,"—",INDEX(Inv_DemFDS,$L112)))</f>
        <v/>
      </c>
      <c r="J112" s="85" t="str">
        <f aca="false">IF($L112="","",IF(INDEX(Inv_RecFDS,$L112)=0,"—",INDEX(Inv_RecFDS,$L112)))</f>
        <v/>
      </c>
      <c r="L112" s="0" t="str">
        <f aca="false">IF(ROW()-5&gt;NbProduits,"",MATCH(SMALL(CleFDS,ROW()-5),CleFDS,0))</f>
        <v/>
      </c>
    </row>
    <row r="113" customFormat="false" ht="15" hidden="false" customHeight="false" outlineLevel="0" collapsed="false">
      <c r="A113" s="83" t="str">
        <f aca="false">IF($L113="","",INDEX(Inv_Num,$L113))</f>
        <v/>
      </c>
      <c r="B113" s="67" t="str">
        <f aca="false">IF($L113="","",INDEX(Inv_Nom,$L113))</f>
        <v/>
      </c>
      <c r="C113" s="67" t="str">
        <f aca="false">IF($L113="","",T(INDEX(Inv_Fourn,$L113)))</f>
        <v/>
      </c>
      <c r="D113" s="83" t="str">
        <f aca="false">IF($L113="","",INDEX(Inv_StatutFDS,$L113))</f>
        <v/>
      </c>
      <c r="E113" s="85" t="str">
        <f aca="false">IF($L113="","",IF(INDEX(Inv_DateFDS,$L113)=0,"—",INDEX(Inv_DateFDS,$L113)))</f>
        <v/>
      </c>
      <c r="F113" s="85" t="str">
        <f aca="false">IF($L113="","",IF(INDEX(Inv_ProchVerif,$L113)="","—",INDEX(Inv_ProchVerif,$L113)))</f>
        <v/>
      </c>
      <c r="G113" s="87" t="str">
        <f aca="true">IF($L113="","",IF(OR(F113="—",F113=""),"—",F113-TODAY()))</f>
        <v/>
      </c>
      <c r="H113" s="83" t="str">
        <f aca="false">IF($L113="","",IF(AND(OR(D113="EXPIRÉE",D113="À RENOUVELER",D113="FDS ABSENTE"),J113="—"),"OUI","—"))</f>
        <v/>
      </c>
      <c r="I113" s="85" t="str">
        <f aca="false">IF($L113="","",IF(INDEX(Inv_DemFDS,$L113)=0,"—",INDEX(Inv_DemFDS,$L113)))</f>
        <v/>
      </c>
      <c r="J113" s="85" t="str">
        <f aca="false">IF($L113="","",IF(INDEX(Inv_RecFDS,$L113)=0,"—",INDEX(Inv_RecFDS,$L113)))</f>
        <v/>
      </c>
      <c r="L113" s="0" t="str">
        <f aca="false">IF(ROW()-5&gt;NbProduits,"",MATCH(SMALL(CleFDS,ROW()-5),CleFDS,0))</f>
        <v/>
      </c>
    </row>
    <row r="114" customFormat="false" ht="15" hidden="false" customHeight="false" outlineLevel="0" collapsed="false">
      <c r="A114" s="83" t="str">
        <f aca="false">IF($L114="","",INDEX(Inv_Num,$L114))</f>
        <v/>
      </c>
      <c r="B114" s="67" t="str">
        <f aca="false">IF($L114="","",INDEX(Inv_Nom,$L114))</f>
        <v/>
      </c>
      <c r="C114" s="67" t="str">
        <f aca="false">IF($L114="","",T(INDEX(Inv_Fourn,$L114)))</f>
        <v/>
      </c>
      <c r="D114" s="83" t="str">
        <f aca="false">IF($L114="","",INDEX(Inv_StatutFDS,$L114))</f>
        <v/>
      </c>
      <c r="E114" s="85" t="str">
        <f aca="false">IF($L114="","",IF(INDEX(Inv_DateFDS,$L114)=0,"—",INDEX(Inv_DateFDS,$L114)))</f>
        <v/>
      </c>
      <c r="F114" s="85" t="str">
        <f aca="false">IF($L114="","",IF(INDEX(Inv_ProchVerif,$L114)="","—",INDEX(Inv_ProchVerif,$L114)))</f>
        <v/>
      </c>
      <c r="G114" s="87" t="str">
        <f aca="true">IF($L114="","",IF(OR(F114="—",F114=""),"—",F114-TODAY()))</f>
        <v/>
      </c>
      <c r="H114" s="83" t="str">
        <f aca="false">IF($L114="","",IF(AND(OR(D114="EXPIRÉE",D114="À RENOUVELER",D114="FDS ABSENTE"),J114="—"),"OUI","—"))</f>
        <v/>
      </c>
      <c r="I114" s="85" t="str">
        <f aca="false">IF($L114="","",IF(INDEX(Inv_DemFDS,$L114)=0,"—",INDEX(Inv_DemFDS,$L114)))</f>
        <v/>
      </c>
      <c r="J114" s="85" t="str">
        <f aca="false">IF($L114="","",IF(INDEX(Inv_RecFDS,$L114)=0,"—",INDEX(Inv_RecFDS,$L114)))</f>
        <v/>
      </c>
      <c r="L114" s="0" t="str">
        <f aca="false">IF(ROW()-5&gt;NbProduits,"",MATCH(SMALL(CleFDS,ROW()-5),CleFDS,0))</f>
        <v/>
      </c>
    </row>
    <row r="115" customFormat="false" ht="15" hidden="false" customHeight="false" outlineLevel="0" collapsed="false">
      <c r="A115" s="83" t="str">
        <f aca="false">IF($L115="","",INDEX(Inv_Num,$L115))</f>
        <v/>
      </c>
      <c r="B115" s="67" t="str">
        <f aca="false">IF($L115="","",INDEX(Inv_Nom,$L115))</f>
        <v/>
      </c>
      <c r="C115" s="67" t="str">
        <f aca="false">IF($L115="","",T(INDEX(Inv_Fourn,$L115)))</f>
        <v/>
      </c>
      <c r="D115" s="83" t="str">
        <f aca="false">IF($L115="","",INDEX(Inv_StatutFDS,$L115))</f>
        <v/>
      </c>
      <c r="E115" s="85" t="str">
        <f aca="false">IF($L115="","",IF(INDEX(Inv_DateFDS,$L115)=0,"—",INDEX(Inv_DateFDS,$L115)))</f>
        <v/>
      </c>
      <c r="F115" s="85" t="str">
        <f aca="false">IF($L115="","",IF(INDEX(Inv_ProchVerif,$L115)="","—",INDEX(Inv_ProchVerif,$L115)))</f>
        <v/>
      </c>
      <c r="G115" s="87" t="str">
        <f aca="true">IF($L115="","",IF(OR(F115="—",F115=""),"—",F115-TODAY()))</f>
        <v/>
      </c>
      <c r="H115" s="83" t="str">
        <f aca="false">IF($L115="","",IF(AND(OR(D115="EXPIRÉE",D115="À RENOUVELER",D115="FDS ABSENTE"),J115="—"),"OUI","—"))</f>
        <v/>
      </c>
      <c r="I115" s="85" t="str">
        <f aca="false">IF($L115="","",IF(INDEX(Inv_DemFDS,$L115)=0,"—",INDEX(Inv_DemFDS,$L115)))</f>
        <v/>
      </c>
      <c r="J115" s="85" t="str">
        <f aca="false">IF($L115="","",IF(INDEX(Inv_RecFDS,$L115)=0,"—",INDEX(Inv_RecFDS,$L115)))</f>
        <v/>
      </c>
      <c r="L115" s="0" t="str">
        <f aca="false">IF(ROW()-5&gt;NbProduits,"",MATCH(SMALL(CleFDS,ROW()-5),CleFDS,0))</f>
        <v/>
      </c>
    </row>
    <row r="116" customFormat="false" ht="15" hidden="false" customHeight="false" outlineLevel="0" collapsed="false">
      <c r="A116" s="83" t="str">
        <f aca="false">IF($L116="","",INDEX(Inv_Num,$L116))</f>
        <v/>
      </c>
      <c r="B116" s="67" t="str">
        <f aca="false">IF($L116="","",INDEX(Inv_Nom,$L116))</f>
        <v/>
      </c>
      <c r="C116" s="67" t="str">
        <f aca="false">IF($L116="","",T(INDEX(Inv_Fourn,$L116)))</f>
        <v/>
      </c>
      <c r="D116" s="83" t="str">
        <f aca="false">IF($L116="","",INDEX(Inv_StatutFDS,$L116))</f>
        <v/>
      </c>
      <c r="E116" s="85" t="str">
        <f aca="false">IF($L116="","",IF(INDEX(Inv_DateFDS,$L116)=0,"—",INDEX(Inv_DateFDS,$L116)))</f>
        <v/>
      </c>
      <c r="F116" s="85" t="str">
        <f aca="false">IF($L116="","",IF(INDEX(Inv_ProchVerif,$L116)="","—",INDEX(Inv_ProchVerif,$L116)))</f>
        <v/>
      </c>
      <c r="G116" s="87" t="str">
        <f aca="true">IF($L116="","",IF(OR(F116="—",F116=""),"—",F116-TODAY()))</f>
        <v/>
      </c>
      <c r="H116" s="83" t="str">
        <f aca="false">IF($L116="","",IF(AND(OR(D116="EXPIRÉE",D116="À RENOUVELER",D116="FDS ABSENTE"),J116="—"),"OUI","—"))</f>
        <v/>
      </c>
      <c r="I116" s="85" t="str">
        <f aca="false">IF($L116="","",IF(INDEX(Inv_DemFDS,$L116)=0,"—",INDEX(Inv_DemFDS,$L116)))</f>
        <v/>
      </c>
      <c r="J116" s="85" t="str">
        <f aca="false">IF($L116="","",IF(INDEX(Inv_RecFDS,$L116)=0,"—",INDEX(Inv_RecFDS,$L116)))</f>
        <v/>
      </c>
      <c r="L116" s="0" t="str">
        <f aca="false">IF(ROW()-5&gt;NbProduits,"",MATCH(SMALL(CleFDS,ROW()-5),CleFDS,0))</f>
        <v/>
      </c>
    </row>
    <row r="117" customFormat="false" ht="15" hidden="false" customHeight="false" outlineLevel="0" collapsed="false">
      <c r="A117" s="83" t="str">
        <f aca="false">IF($L117="","",INDEX(Inv_Num,$L117))</f>
        <v/>
      </c>
      <c r="B117" s="67" t="str">
        <f aca="false">IF($L117="","",INDEX(Inv_Nom,$L117))</f>
        <v/>
      </c>
      <c r="C117" s="67" t="str">
        <f aca="false">IF($L117="","",T(INDEX(Inv_Fourn,$L117)))</f>
        <v/>
      </c>
      <c r="D117" s="83" t="str">
        <f aca="false">IF($L117="","",INDEX(Inv_StatutFDS,$L117))</f>
        <v/>
      </c>
      <c r="E117" s="85" t="str">
        <f aca="false">IF($L117="","",IF(INDEX(Inv_DateFDS,$L117)=0,"—",INDEX(Inv_DateFDS,$L117)))</f>
        <v/>
      </c>
      <c r="F117" s="85" t="str">
        <f aca="false">IF($L117="","",IF(INDEX(Inv_ProchVerif,$L117)="","—",INDEX(Inv_ProchVerif,$L117)))</f>
        <v/>
      </c>
      <c r="G117" s="87" t="str">
        <f aca="true">IF($L117="","",IF(OR(F117="—",F117=""),"—",F117-TODAY()))</f>
        <v/>
      </c>
      <c r="H117" s="83" t="str">
        <f aca="false">IF($L117="","",IF(AND(OR(D117="EXPIRÉE",D117="À RENOUVELER",D117="FDS ABSENTE"),J117="—"),"OUI","—"))</f>
        <v/>
      </c>
      <c r="I117" s="85" t="str">
        <f aca="false">IF($L117="","",IF(INDEX(Inv_DemFDS,$L117)=0,"—",INDEX(Inv_DemFDS,$L117)))</f>
        <v/>
      </c>
      <c r="J117" s="85" t="str">
        <f aca="false">IF($L117="","",IF(INDEX(Inv_RecFDS,$L117)=0,"—",INDEX(Inv_RecFDS,$L117)))</f>
        <v/>
      </c>
      <c r="L117" s="0" t="str">
        <f aca="false">IF(ROW()-5&gt;NbProduits,"",MATCH(SMALL(CleFDS,ROW()-5),CleFDS,0))</f>
        <v/>
      </c>
    </row>
    <row r="118" customFormat="false" ht="15" hidden="false" customHeight="false" outlineLevel="0" collapsed="false">
      <c r="A118" s="83" t="str">
        <f aca="false">IF($L118="","",INDEX(Inv_Num,$L118))</f>
        <v/>
      </c>
      <c r="B118" s="67" t="str">
        <f aca="false">IF($L118="","",INDEX(Inv_Nom,$L118))</f>
        <v/>
      </c>
      <c r="C118" s="67" t="str">
        <f aca="false">IF($L118="","",T(INDEX(Inv_Fourn,$L118)))</f>
        <v/>
      </c>
      <c r="D118" s="83" t="str">
        <f aca="false">IF($L118="","",INDEX(Inv_StatutFDS,$L118))</f>
        <v/>
      </c>
      <c r="E118" s="85" t="str">
        <f aca="false">IF($L118="","",IF(INDEX(Inv_DateFDS,$L118)=0,"—",INDEX(Inv_DateFDS,$L118)))</f>
        <v/>
      </c>
      <c r="F118" s="85" t="str">
        <f aca="false">IF($L118="","",IF(INDEX(Inv_ProchVerif,$L118)="","—",INDEX(Inv_ProchVerif,$L118)))</f>
        <v/>
      </c>
      <c r="G118" s="87" t="str">
        <f aca="true">IF($L118="","",IF(OR(F118="—",F118=""),"—",F118-TODAY()))</f>
        <v/>
      </c>
      <c r="H118" s="83" t="str">
        <f aca="false">IF($L118="","",IF(AND(OR(D118="EXPIRÉE",D118="À RENOUVELER",D118="FDS ABSENTE"),J118="—"),"OUI","—"))</f>
        <v/>
      </c>
      <c r="I118" s="85" t="str">
        <f aca="false">IF($L118="","",IF(INDEX(Inv_DemFDS,$L118)=0,"—",INDEX(Inv_DemFDS,$L118)))</f>
        <v/>
      </c>
      <c r="J118" s="85" t="str">
        <f aca="false">IF($L118="","",IF(INDEX(Inv_RecFDS,$L118)=0,"—",INDEX(Inv_RecFDS,$L118)))</f>
        <v/>
      </c>
      <c r="L118" s="0" t="str">
        <f aca="false">IF(ROW()-5&gt;NbProduits,"",MATCH(SMALL(CleFDS,ROW()-5),CleFDS,0))</f>
        <v/>
      </c>
    </row>
    <row r="119" customFormat="false" ht="15" hidden="false" customHeight="false" outlineLevel="0" collapsed="false">
      <c r="A119" s="83" t="str">
        <f aca="false">IF($L119="","",INDEX(Inv_Num,$L119))</f>
        <v/>
      </c>
      <c r="B119" s="67" t="str">
        <f aca="false">IF($L119="","",INDEX(Inv_Nom,$L119))</f>
        <v/>
      </c>
      <c r="C119" s="67" t="str">
        <f aca="false">IF($L119="","",T(INDEX(Inv_Fourn,$L119)))</f>
        <v/>
      </c>
      <c r="D119" s="83" t="str">
        <f aca="false">IF($L119="","",INDEX(Inv_StatutFDS,$L119))</f>
        <v/>
      </c>
      <c r="E119" s="85" t="str">
        <f aca="false">IF($L119="","",IF(INDEX(Inv_DateFDS,$L119)=0,"—",INDEX(Inv_DateFDS,$L119)))</f>
        <v/>
      </c>
      <c r="F119" s="85" t="str">
        <f aca="false">IF($L119="","",IF(INDEX(Inv_ProchVerif,$L119)="","—",INDEX(Inv_ProchVerif,$L119)))</f>
        <v/>
      </c>
      <c r="G119" s="87" t="str">
        <f aca="true">IF($L119="","",IF(OR(F119="—",F119=""),"—",F119-TODAY()))</f>
        <v/>
      </c>
      <c r="H119" s="83" t="str">
        <f aca="false">IF($L119="","",IF(AND(OR(D119="EXPIRÉE",D119="À RENOUVELER",D119="FDS ABSENTE"),J119="—"),"OUI","—"))</f>
        <v/>
      </c>
      <c r="I119" s="85" t="str">
        <f aca="false">IF($L119="","",IF(INDEX(Inv_DemFDS,$L119)=0,"—",INDEX(Inv_DemFDS,$L119)))</f>
        <v/>
      </c>
      <c r="J119" s="85" t="str">
        <f aca="false">IF($L119="","",IF(INDEX(Inv_RecFDS,$L119)=0,"—",INDEX(Inv_RecFDS,$L119)))</f>
        <v/>
      </c>
      <c r="L119" s="0" t="str">
        <f aca="false">IF(ROW()-5&gt;NbProduits,"",MATCH(SMALL(CleFDS,ROW()-5),CleFDS,0))</f>
        <v/>
      </c>
    </row>
    <row r="120" customFormat="false" ht="15" hidden="false" customHeight="false" outlineLevel="0" collapsed="false">
      <c r="A120" s="83" t="str">
        <f aca="false">IF($L120="","",INDEX(Inv_Num,$L120))</f>
        <v/>
      </c>
      <c r="B120" s="67" t="str">
        <f aca="false">IF($L120="","",INDEX(Inv_Nom,$L120))</f>
        <v/>
      </c>
      <c r="C120" s="67" t="str">
        <f aca="false">IF($L120="","",T(INDEX(Inv_Fourn,$L120)))</f>
        <v/>
      </c>
      <c r="D120" s="83" t="str">
        <f aca="false">IF($L120="","",INDEX(Inv_StatutFDS,$L120))</f>
        <v/>
      </c>
      <c r="E120" s="85" t="str">
        <f aca="false">IF($L120="","",IF(INDEX(Inv_DateFDS,$L120)=0,"—",INDEX(Inv_DateFDS,$L120)))</f>
        <v/>
      </c>
      <c r="F120" s="85" t="str">
        <f aca="false">IF($L120="","",IF(INDEX(Inv_ProchVerif,$L120)="","—",INDEX(Inv_ProchVerif,$L120)))</f>
        <v/>
      </c>
      <c r="G120" s="87" t="str">
        <f aca="true">IF($L120="","",IF(OR(F120="—",F120=""),"—",F120-TODAY()))</f>
        <v/>
      </c>
      <c r="H120" s="83" t="str">
        <f aca="false">IF($L120="","",IF(AND(OR(D120="EXPIRÉE",D120="À RENOUVELER",D120="FDS ABSENTE"),J120="—"),"OUI","—"))</f>
        <v/>
      </c>
      <c r="I120" s="85" t="str">
        <f aca="false">IF($L120="","",IF(INDEX(Inv_DemFDS,$L120)=0,"—",INDEX(Inv_DemFDS,$L120)))</f>
        <v/>
      </c>
      <c r="J120" s="85" t="str">
        <f aca="false">IF($L120="","",IF(INDEX(Inv_RecFDS,$L120)=0,"—",INDEX(Inv_RecFDS,$L120)))</f>
        <v/>
      </c>
      <c r="L120" s="0" t="str">
        <f aca="false">IF(ROW()-5&gt;NbProduits,"",MATCH(SMALL(CleFDS,ROW()-5),CleFDS,0))</f>
        <v/>
      </c>
    </row>
    <row r="121" customFormat="false" ht="15" hidden="false" customHeight="false" outlineLevel="0" collapsed="false">
      <c r="A121" s="83" t="str">
        <f aca="false">IF($L121="","",INDEX(Inv_Num,$L121))</f>
        <v/>
      </c>
      <c r="B121" s="67" t="str">
        <f aca="false">IF($L121="","",INDEX(Inv_Nom,$L121))</f>
        <v/>
      </c>
      <c r="C121" s="67" t="str">
        <f aca="false">IF($L121="","",T(INDEX(Inv_Fourn,$L121)))</f>
        <v/>
      </c>
      <c r="D121" s="83" t="str">
        <f aca="false">IF($L121="","",INDEX(Inv_StatutFDS,$L121))</f>
        <v/>
      </c>
      <c r="E121" s="85" t="str">
        <f aca="false">IF($L121="","",IF(INDEX(Inv_DateFDS,$L121)=0,"—",INDEX(Inv_DateFDS,$L121)))</f>
        <v/>
      </c>
      <c r="F121" s="85" t="str">
        <f aca="false">IF($L121="","",IF(INDEX(Inv_ProchVerif,$L121)="","—",INDEX(Inv_ProchVerif,$L121)))</f>
        <v/>
      </c>
      <c r="G121" s="87" t="str">
        <f aca="true">IF($L121="","",IF(OR(F121="—",F121=""),"—",F121-TODAY()))</f>
        <v/>
      </c>
      <c r="H121" s="83" t="str">
        <f aca="false">IF($L121="","",IF(AND(OR(D121="EXPIRÉE",D121="À RENOUVELER",D121="FDS ABSENTE"),J121="—"),"OUI","—"))</f>
        <v/>
      </c>
      <c r="I121" s="85" t="str">
        <f aca="false">IF($L121="","",IF(INDEX(Inv_DemFDS,$L121)=0,"—",INDEX(Inv_DemFDS,$L121)))</f>
        <v/>
      </c>
      <c r="J121" s="85" t="str">
        <f aca="false">IF($L121="","",IF(INDEX(Inv_RecFDS,$L121)=0,"—",INDEX(Inv_RecFDS,$L121)))</f>
        <v/>
      </c>
      <c r="L121" s="0" t="str">
        <f aca="false">IF(ROW()-5&gt;NbProduits,"",MATCH(SMALL(CleFDS,ROW()-5),CleFDS,0))</f>
        <v/>
      </c>
    </row>
    <row r="122" customFormat="false" ht="15" hidden="false" customHeight="false" outlineLevel="0" collapsed="false">
      <c r="A122" s="83" t="str">
        <f aca="false">IF($L122="","",INDEX(Inv_Num,$L122))</f>
        <v/>
      </c>
      <c r="B122" s="67" t="str">
        <f aca="false">IF($L122="","",INDEX(Inv_Nom,$L122))</f>
        <v/>
      </c>
      <c r="C122" s="67" t="str">
        <f aca="false">IF($L122="","",T(INDEX(Inv_Fourn,$L122)))</f>
        <v/>
      </c>
      <c r="D122" s="83" t="str">
        <f aca="false">IF($L122="","",INDEX(Inv_StatutFDS,$L122))</f>
        <v/>
      </c>
      <c r="E122" s="85" t="str">
        <f aca="false">IF($L122="","",IF(INDEX(Inv_DateFDS,$L122)=0,"—",INDEX(Inv_DateFDS,$L122)))</f>
        <v/>
      </c>
      <c r="F122" s="85" t="str">
        <f aca="false">IF($L122="","",IF(INDEX(Inv_ProchVerif,$L122)="","—",INDEX(Inv_ProchVerif,$L122)))</f>
        <v/>
      </c>
      <c r="G122" s="87" t="str">
        <f aca="true">IF($L122="","",IF(OR(F122="—",F122=""),"—",F122-TODAY()))</f>
        <v/>
      </c>
      <c r="H122" s="83" t="str">
        <f aca="false">IF($L122="","",IF(AND(OR(D122="EXPIRÉE",D122="À RENOUVELER",D122="FDS ABSENTE"),J122="—"),"OUI","—"))</f>
        <v/>
      </c>
      <c r="I122" s="85" t="str">
        <f aca="false">IF($L122="","",IF(INDEX(Inv_DemFDS,$L122)=0,"—",INDEX(Inv_DemFDS,$L122)))</f>
        <v/>
      </c>
      <c r="J122" s="85" t="str">
        <f aca="false">IF($L122="","",IF(INDEX(Inv_RecFDS,$L122)=0,"—",INDEX(Inv_RecFDS,$L122)))</f>
        <v/>
      </c>
      <c r="L122" s="0" t="str">
        <f aca="false">IF(ROW()-5&gt;NbProduits,"",MATCH(SMALL(CleFDS,ROW()-5),CleFDS,0))</f>
        <v/>
      </c>
    </row>
    <row r="123" customFormat="false" ht="15" hidden="false" customHeight="false" outlineLevel="0" collapsed="false">
      <c r="A123" s="83" t="str">
        <f aca="false">IF($L123="","",INDEX(Inv_Num,$L123))</f>
        <v/>
      </c>
      <c r="B123" s="67" t="str">
        <f aca="false">IF($L123="","",INDEX(Inv_Nom,$L123))</f>
        <v/>
      </c>
      <c r="C123" s="67" t="str">
        <f aca="false">IF($L123="","",T(INDEX(Inv_Fourn,$L123)))</f>
        <v/>
      </c>
      <c r="D123" s="83" t="str">
        <f aca="false">IF($L123="","",INDEX(Inv_StatutFDS,$L123))</f>
        <v/>
      </c>
      <c r="E123" s="85" t="str">
        <f aca="false">IF($L123="","",IF(INDEX(Inv_DateFDS,$L123)=0,"—",INDEX(Inv_DateFDS,$L123)))</f>
        <v/>
      </c>
      <c r="F123" s="85" t="str">
        <f aca="false">IF($L123="","",IF(INDEX(Inv_ProchVerif,$L123)="","—",INDEX(Inv_ProchVerif,$L123)))</f>
        <v/>
      </c>
      <c r="G123" s="87" t="str">
        <f aca="true">IF($L123="","",IF(OR(F123="—",F123=""),"—",F123-TODAY()))</f>
        <v/>
      </c>
      <c r="H123" s="83" t="str">
        <f aca="false">IF($L123="","",IF(AND(OR(D123="EXPIRÉE",D123="À RENOUVELER",D123="FDS ABSENTE"),J123="—"),"OUI","—"))</f>
        <v/>
      </c>
      <c r="I123" s="85" t="str">
        <f aca="false">IF($L123="","",IF(INDEX(Inv_DemFDS,$L123)=0,"—",INDEX(Inv_DemFDS,$L123)))</f>
        <v/>
      </c>
      <c r="J123" s="85" t="str">
        <f aca="false">IF($L123="","",IF(INDEX(Inv_RecFDS,$L123)=0,"—",INDEX(Inv_RecFDS,$L123)))</f>
        <v/>
      </c>
      <c r="L123" s="0" t="str">
        <f aca="false">IF(ROW()-5&gt;NbProduits,"",MATCH(SMALL(CleFDS,ROW()-5),CleFDS,0))</f>
        <v/>
      </c>
    </row>
    <row r="124" customFormat="false" ht="15" hidden="false" customHeight="false" outlineLevel="0" collapsed="false">
      <c r="A124" s="83" t="str">
        <f aca="false">IF($L124="","",INDEX(Inv_Num,$L124))</f>
        <v/>
      </c>
      <c r="B124" s="67" t="str">
        <f aca="false">IF($L124="","",INDEX(Inv_Nom,$L124))</f>
        <v/>
      </c>
      <c r="C124" s="67" t="str">
        <f aca="false">IF($L124="","",T(INDEX(Inv_Fourn,$L124)))</f>
        <v/>
      </c>
      <c r="D124" s="83" t="str">
        <f aca="false">IF($L124="","",INDEX(Inv_StatutFDS,$L124))</f>
        <v/>
      </c>
      <c r="E124" s="85" t="str">
        <f aca="false">IF($L124="","",IF(INDEX(Inv_DateFDS,$L124)=0,"—",INDEX(Inv_DateFDS,$L124)))</f>
        <v/>
      </c>
      <c r="F124" s="85" t="str">
        <f aca="false">IF($L124="","",IF(INDEX(Inv_ProchVerif,$L124)="","—",INDEX(Inv_ProchVerif,$L124)))</f>
        <v/>
      </c>
      <c r="G124" s="87" t="str">
        <f aca="true">IF($L124="","",IF(OR(F124="—",F124=""),"—",F124-TODAY()))</f>
        <v/>
      </c>
      <c r="H124" s="83" t="str">
        <f aca="false">IF($L124="","",IF(AND(OR(D124="EXPIRÉE",D124="À RENOUVELER",D124="FDS ABSENTE"),J124="—"),"OUI","—"))</f>
        <v/>
      </c>
      <c r="I124" s="85" t="str">
        <f aca="false">IF($L124="","",IF(INDEX(Inv_DemFDS,$L124)=0,"—",INDEX(Inv_DemFDS,$L124)))</f>
        <v/>
      </c>
      <c r="J124" s="85" t="str">
        <f aca="false">IF($L124="","",IF(INDEX(Inv_RecFDS,$L124)=0,"—",INDEX(Inv_RecFDS,$L124)))</f>
        <v/>
      </c>
      <c r="L124" s="0" t="str">
        <f aca="false">IF(ROW()-5&gt;NbProduits,"",MATCH(SMALL(CleFDS,ROW()-5),CleFDS,0))</f>
        <v/>
      </c>
    </row>
    <row r="125" customFormat="false" ht="15" hidden="false" customHeight="false" outlineLevel="0" collapsed="false">
      <c r="A125" s="83" t="str">
        <f aca="false">IF($L125="","",INDEX(Inv_Num,$L125))</f>
        <v/>
      </c>
      <c r="B125" s="67" t="str">
        <f aca="false">IF($L125="","",INDEX(Inv_Nom,$L125))</f>
        <v/>
      </c>
      <c r="C125" s="67" t="str">
        <f aca="false">IF($L125="","",T(INDEX(Inv_Fourn,$L125)))</f>
        <v/>
      </c>
      <c r="D125" s="83" t="str">
        <f aca="false">IF($L125="","",INDEX(Inv_StatutFDS,$L125))</f>
        <v/>
      </c>
      <c r="E125" s="85" t="str">
        <f aca="false">IF($L125="","",IF(INDEX(Inv_DateFDS,$L125)=0,"—",INDEX(Inv_DateFDS,$L125)))</f>
        <v/>
      </c>
      <c r="F125" s="85" t="str">
        <f aca="false">IF($L125="","",IF(INDEX(Inv_ProchVerif,$L125)="","—",INDEX(Inv_ProchVerif,$L125)))</f>
        <v/>
      </c>
      <c r="G125" s="87" t="str">
        <f aca="true">IF($L125="","",IF(OR(F125="—",F125=""),"—",F125-TODAY()))</f>
        <v/>
      </c>
      <c r="H125" s="83" t="str">
        <f aca="false">IF($L125="","",IF(AND(OR(D125="EXPIRÉE",D125="À RENOUVELER",D125="FDS ABSENTE"),J125="—"),"OUI","—"))</f>
        <v/>
      </c>
      <c r="I125" s="85" t="str">
        <f aca="false">IF($L125="","",IF(INDEX(Inv_DemFDS,$L125)=0,"—",INDEX(Inv_DemFDS,$L125)))</f>
        <v/>
      </c>
      <c r="J125" s="85" t="str">
        <f aca="false">IF($L125="","",IF(INDEX(Inv_RecFDS,$L125)=0,"—",INDEX(Inv_RecFDS,$L125)))</f>
        <v/>
      </c>
      <c r="L125" s="0" t="str">
        <f aca="false">IF(ROW()-5&gt;NbProduits,"",MATCH(SMALL(CleFDS,ROW()-5),CleFDS,0))</f>
        <v/>
      </c>
    </row>
    <row r="126" customFormat="false" ht="15" hidden="false" customHeight="false" outlineLevel="0" collapsed="false">
      <c r="A126" s="83" t="str">
        <f aca="false">IF($L126="","",INDEX(Inv_Num,$L126))</f>
        <v/>
      </c>
      <c r="B126" s="67" t="str">
        <f aca="false">IF($L126="","",INDEX(Inv_Nom,$L126))</f>
        <v/>
      </c>
      <c r="C126" s="67" t="str">
        <f aca="false">IF($L126="","",T(INDEX(Inv_Fourn,$L126)))</f>
        <v/>
      </c>
      <c r="D126" s="83" t="str">
        <f aca="false">IF($L126="","",INDEX(Inv_StatutFDS,$L126))</f>
        <v/>
      </c>
      <c r="E126" s="85" t="str">
        <f aca="false">IF($L126="","",IF(INDEX(Inv_DateFDS,$L126)=0,"—",INDEX(Inv_DateFDS,$L126)))</f>
        <v/>
      </c>
      <c r="F126" s="85" t="str">
        <f aca="false">IF($L126="","",IF(INDEX(Inv_ProchVerif,$L126)="","—",INDEX(Inv_ProchVerif,$L126)))</f>
        <v/>
      </c>
      <c r="G126" s="87" t="str">
        <f aca="true">IF($L126="","",IF(OR(F126="—",F126=""),"—",F126-TODAY()))</f>
        <v/>
      </c>
      <c r="H126" s="83" t="str">
        <f aca="false">IF($L126="","",IF(AND(OR(D126="EXPIRÉE",D126="À RENOUVELER",D126="FDS ABSENTE"),J126="—"),"OUI","—"))</f>
        <v/>
      </c>
      <c r="I126" s="85" t="str">
        <f aca="false">IF($L126="","",IF(INDEX(Inv_DemFDS,$L126)=0,"—",INDEX(Inv_DemFDS,$L126)))</f>
        <v/>
      </c>
      <c r="J126" s="85" t="str">
        <f aca="false">IF($L126="","",IF(INDEX(Inv_RecFDS,$L126)=0,"—",INDEX(Inv_RecFDS,$L126)))</f>
        <v/>
      </c>
      <c r="L126" s="0" t="str">
        <f aca="false">IF(ROW()-5&gt;NbProduits,"",MATCH(SMALL(CleFDS,ROW()-5),CleFDS,0))</f>
        <v/>
      </c>
    </row>
    <row r="127" customFormat="false" ht="15" hidden="false" customHeight="false" outlineLevel="0" collapsed="false">
      <c r="A127" s="83" t="str">
        <f aca="false">IF($L127="","",INDEX(Inv_Num,$L127))</f>
        <v/>
      </c>
      <c r="B127" s="67" t="str">
        <f aca="false">IF($L127="","",INDEX(Inv_Nom,$L127))</f>
        <v/>
      </c>
      <c r="C127" s="67" t="str">
        <f aca="false">IF($L127="","",T(INDEX(Inv_Fourn,$L127)))</f>
        <v/>
      </c>
      <c r="D127" s="83" t="str">
        <f aca="false">IF($L127="","",INDEX(Inv_StatutFDS,$L127))</f>
        <v/>
      </c>
      <c r="E127" s="85" t="str">
        <f aca="false">IF($L127="","",IF(INDEX(Inv_DateFDS,$L127)=0,"—",INDEX(Inv_DateFDS,$L127)))</f>
        <v/>
      </c>
      <c r="F127" s="85" t="str">
        <f aca="false">IF($L127="","",IF(INDEX(Inv_ProchVerif,$L127)="","—",INDEX(Inv_ProchVerif,$L127)))</f>
        <v/>
      </c>
      <c r="G127" s="87" t="str">
        <f aca="true">IF($L127="","",IF(OR(F127="—",F127=""),"—",F127-TODAY()))</f>
        <v/>
      </c>
      <c r="H127" s="83" t="str">
        <f aca="false">IF($L127="","",IF(AND(OR(D127="EXPIRÉE",D127="À RENOUVELER",D127="FDS ABSENTE"),J127="—"),"OUI","—"))</f>
        <v/>
      </c>
      <c r="I127" s="85" t="str">
        <f aca="false">IF($L127="","",IF(INDEX(Inv_DemFDS,$L127)=0,"—",INDEX(Inv_DemFDS,$L127)))</f>
        <v/>
      </c>
      <c r="J127" s="85" t="str">
        <f aca="false">IF($L127="","",IF(INDEX(Inv_RecFDS,$L127)=0,"—",INDEX(Inv_RecFDS,$L127)))</f>
        <v/>
      </c>
      <c r="L127" s="0" t="str">
        <f aca="false">IF(ROW()-5&gt;NbProduits,"",MATCH(SMALL(CleFDS,ROW()-5),CleFDS,0))</f>
        <v/>
      </c>
    </row>
    <row r="128" customFormat="false" ht="15" hidden="false" customHeight="false" outlineLevel="0" collapsed="false">
      <c r="A128" s="83" t="str">
        <f aca="false">IF($L128="","",INDEX(Inv_Num,$L128))</f>
        <v/>
      </c>
      <c r="B128" s="67" t="str">
        <f aca="false">IF($L128="","",INDEX(Inv_Nom,$L128))</f>
        <v/>
      </c>
      <c r="C128" s="67" t="str">
        <f aca="false">IF($L128="","",T(INDEX(Inv_Fourn,$L128)))</f>
        <v/>
      </c>
      <c r="D128" s="83" t="str">
        <f aca="false">IF($L128="","",INDEX(Inv_StatutFDS,$L128))</f>
        <v/>
      </c>
      <c r="E128" s="85" t="str">
        <f aca="false">IF($L128="","",IF(INDEX(Inv_DateFDS,$L128)=0,"—",INDEX(Inv_DateFDS,$L128)))</f>
        <v/>
      </c>
      <c r="F128" s="85" t="str">
        <f aca="false">IF($L128="","",IF(INDEX(Inv_ProchVerif,$L128)="","—",INDEX(Inv_ProchVerif,$L128)))</f>
        <v/>
      </c>
      <c r="G128" s="87" t="str">
        <f aca="true">IF($L128="","",IF(OR(F128="—",F128=""),"—",F128-TODAY()))</f>
        <v/>
      </c>
      <c r="H128" s="83" t="str">
        <f aca="false">IF($L128="","",IF(AND(OR(D128="EXPIRÉE",D128="À RENOUVELER",D128="FDS ABSENTE"),J128="—"),"OUI","—"))</f>
        <v/>
      </c>
      <c r="I128" s="85" t="str">
        <f aca="false">IF($L128="","",IF(INDEX(Inv_DemFDS,$L128)=0,"—",INDEX(Inv_DemFDS,$L128)))</f>
        <v/>
      </c>
      <c r="J128" s="85" t="str">
        <f aca="false">IF($L128="","",IF(INDEX(Inv_RecFDS,$L128)=0,"—",INDEX(Inv_RecFDS,$L128)))</f>
        <v/>
      </c>
      <c r="L128" s="0" t="str">
        <f aca="false">IF(ROW()-5&gt;NbProduits,"",MATCH(SMALL(CleFDS,ROW()-5),CleFDS,0))</f>
        <v/>
      </c>
    </row>
    <row r="129" customFormat="false" ht="15" hidden="false" customHeight="false" outlineLevel="0" collapsed="false">
      <c r="A129" s="83" t="str">
        <f aca="false">IF($L129="","",INDEX(Inv_Num,$L129))</f>
        <v/>
      </c>
      <c r="B129" s="67" t="str">
        <f aca="false">IF($L129="","",INDEX(Inv_Nom,$L129))</f>
        <v/>
      </c>
      <c r="C129" s="67" t="str">
        <f aca="false">IF($L129="","",T(INDEX(Inv_Fourn,$L129)))</f>
        <v/>
      </c>
      <c r="D129" s="83" t="str">
        <f aca="false">IF($L129="","",INDEX(Inv_StatutFDS,$L129))</f>
        <v/>
      </c>
      <c r="E129" s="85" t="str">
        <f aca="false">IF($L129="","",IF(INDEX(Inv_DateFDS,$L129)=0,"—",INDEX(Inv_DateFDS,$L129)))</f>
        <v/>
      </c>
      <c r="F129" s="85" t="str">
        <f aca="false">IF($L129="","",IF(INDEX(Inv_ProchVerif,$L129)="","—",INDEX(Inv_ProchVerif,$L129)))</f>
        <v/>
      </c>
      <c r="G129" s="87" t="str">
        <f aca="true">IF($L129="","",IF(OR(F129="—",F129=""),"—",F129-TODAY()))</f>
        <v/>
      </c>
      <c r="H129" s="83" t="str">
        <f aca="false">IF($L129="","",IF(AND(OR(D129="EXPIRÉE",D129="À RENOUVELER",D129="FDS ABSENTE"),J129="—"),"OUI","—"))</f>
        <v/>
      </c>
      <c r="I129" s="85" t="str">
        <f aca="false">IF($L129="","",IF(INDEX(Inv_DemFDS,$L129)=0,"—",INDEX(Inv_DemFDS,$L129)))</f>
        <v/>
      </c>
      <c r="J129" s="85" t="str">
        <f aca="false">IF($L129="","",IF(INDEX(Inv_RecFDS,$L129)=0,"—",INDEX(Inv_RecFDS,$L129)))</f>
        <v/>
      </c>
      <c r="L129" s="0" t="str">
        <f aca="false">IF(ROW()-5&gt;NbProduits,"",MATCH(SMALL(CleFDS,ROW()-5),CleFDS,0))</f>
        <v/>
      </c>
    </row>
    <row r="130" customFormat="false" ht="15" hidden="false" customHeight="false" outlineLevel="0" collapsed="false">
      <c r="A130" s="83" t="str">
        <f aca="false">IF($L130="","",INDEX(Inv_Num,$L130))</f>
        <v/>
      </c>
      <c r="B130" s="67" t="str">
        <f aca="false">IF($L130="","",INDEX(Inv_Nom,$L130))</f>
        <v/>
      </c>
      <c r="C130" s="67" t="str">
        <f aca="false">IF($L130="","",T(INDEX(Inv_Fourn,$L130)))</f>
        <v/>
      </c>
      <c r="D130" s="83" t="str">
        <f aca="false">IF($L130="","",INDEX(Inv_StatutFDS,$L130))</f>
        <v/>
      </c>
      <c r="E130" s="85" t="str">
        <f aca="false">IF($L130="","",IF(INDEX(Inv_DateFDS,$L130)=0,"—",INDEX(Inv_DateFDS,$L130)))</f>
        <v/>
      </c>
      <c r="F130" s="85" t="str">
        <f aca="false">IF($L130="","",IF(INDEX(Inv_ProchVerif,$L130)="","—",INDEX(Inv_ProchVerif,$L130)))</f>
        <v/>
      </c>
      <c r="G130" s="87" t="str">
        <f aca="true">IF($L130="","",IF(OR(F130="—",F130=""),"—",F130-TODAY()))</f>
        <v/>
      </c>
      <c r="H130" s="83" t="str">
        <f aca="false">IF($L130="","",IF(AND(OR(D130="EXPIRÉE",D130="À RENOUVELER",D130="FDS ABSENTE"),J130="—"),"OUI","—"))</f>
        <v/>
      </c>
      <c r="I130" s="85" t="str">
        <f aca="false">IF($L130="","",IF(INDEX(Inv_DemFDS,$L130)=0,"—",INDEX(Inv_DemFDS,$L130)))</f>
        <v/>
      </c>
      <c r="J130" s="85" t="str">
        <f aca="false">IF($L130="","",IF(INDEX(Inv_RecFDS,$L130)=0,"—",INDEX(Inv_RecFDS,$L130)))</f>
        <v/>
      </c>
      <c r="L130" s="0" t="str">
        <f aca="false">IF(ROW()-5&gt;NbProduits,"",MATCH(SMALL(CleFDS,ROW()-5),CleFDS,0))</f>
        <v/>
      </c>
    </row>
    <row r="131" customFormat="false" ht="15" hidden="false" customHeight="false" outlineLevel="0" collapsed="false">
      <c r="A131" s="83" t="str">
        <f aca="false">IF($L131="","",INDEX(Inv_Num,$L131))</f>
        <v/>
      </c>
      <c r="B131" s="67" t="str">
        <f aca="false">IF($L131="","",INDEX(Inv_Nom,$L131))</f>
        <v/>
      </c>
      <c r="C131" s="67" t="str">
        <f aca="false">IF($L131="","",T(INDEX(Inv_Fourn,$L131)))</f>
        <v/>
      </c>
      <c r="D131" s="83" t="str">
        <f aca="false">IF($L131="","",INDEX(Inv_StatutFDS,$L131))</f>
        <v/>
      </c>
      <c r="E131" s="85" t="str">
        <f aca="false">IF($L131="","",IF(INDEX(Inv_DateFDS,$L131)=0,"—",INDEX(Inv_DateFDS,$L131)))</f>
        <v/>
      </c>
      <c r="F131" s="85" t="str">
        <f aca="false">IF($L131="","",IF(INDEX(Inv_ProchVerif,$L131)="","—",INDEX(Inv_ProchVerif,$L131)))</f>
        <v/>
      </c>
      <c r="G131" s="87" t="str">
        <f aca="true">IF($L131="","",IF(OR(F131="—",F131=""),"—",F131-TODAY()))</f>
        <v/>
      </c>
      <c r="H131" s="83" t="str">
        <f aca="false">IF($L131="","",IF(AND(OR(D131="EXPIRÉE",D131="À RENOUVELER",D131="FDS ABSENTE"),J131="—"),"OUI","—"))</f>
        <v/>
      </c>
      <c r="I131" s="85" t="str">
        <f aca="false">IF($L131="","",IF(INDEX(Inv_DemFDS,$L131)=0,"—",INDEX(Inv_DemFDS,$L131)))</f>
        <v/>
      </c>
      <c r="J131" s="85" t="str">
        <f aca="false">IF($L131="","",IF(INDEX(Inv_RecFDS,$L131)=0,"—",INDEX(Inv_RecFDS,$L131)))</f>
        <v/>
      </c>
      <c r="L131" s="0" t="str">
        <f aca="false">IF(ROW()-5&gt;NbProduits,"",MATCH(SMALL(CleFDS,ROW()-5),CleFDS,0))</f>
        <v/>
      </c>
    </row>
    <row r="132" customFormat="false" ht="15" hidden="false" customHeight="false" outlineLevel="0" collapsed="false">
      <c r="A132" s="83" t="str">
        <f aca="false">IF($L132="","",INDEX(Inv_Num,$L132))</f>
        <v/>
      </c>
      <c r="B132" s="67" t="str">
        <f aca="false">IF($L132="","",INDEX(Inv_Nom,$L132))</f>
        <v/>
      </c>
      <c r="C132" s="67" t="str">
        <f aca="false">IF($L132="","",T(INDEX(Inv_Fourn,$L132)))</f>
        <v/>
      </c>
      <c r="D132" s="83" t="str">
        <f aca="false">IF($L132="","",INDEX(Inv_StatutFDS,$L132))</f>
        <v/>
      </c>
      <c r="E132" s="85" t="str">
        <f aca="false">IF($L132="","",IF(INDEX(Inv_DateFDS,$L132)=0,"—",INDEX(Inv_DateFDS,$L132)))</f>
        <v/>
      </c>
      <c r="F132" s="85" t="str">
        <f aca="false">IF($L132="","",IF(INDEX(Inv_ProchVerif,$L132)="","—",INDEX(Inv_ProchVerif,$L132)))</f>
        <v/>
      </c>
      <c r="G132" s="87" t="str">
        <f aca="true">IF($L132="","",IF(OR(F132="—",F132=""),"—",F132-TODAY()))</f>
        <v/>
      </c>
      <c r="H132" s="83" t="str">
        <f aca="false">IF($L132="","",IF(AND(OR(D132="EXPIRÉE",D132="À RENOUVELER",D132="FDS ABSENTE"),J132="—"),"OUI","—"))</f>
        <v/>
      </c>
      <c r="I132" s="85" t="str">
        <f aca="false">IF($L132="","",IF(INDEX(Inv_DemFDS,$L132)=0,"—",INDEX(Inv_DemFDS,$L132)))</f>
        <v/>
      </c>
      <c r="J132" s="85" t="str">
        <f aca="false">IF($L132="","",IF(INDEX(Inv_RecFDS,$L132)=0,"—",INDEX(Inv_RecFDS,$L132)))</f>
        <v/>
      </c>
      <c r="L132" s="0" t="str">
        <f aca="false">IF(ROW()-5&gt;NbProduits,"",MATCH(SMALL(CleFDS,ROW()-5),CleFDS,0))</f>
        <v/>
      </c>
    </row>
    <row r="133" customFormat="false" ht="15" hidden="false" customHeight="false" outlineLevel="0" collapsed="false">
      <c r="A133" s="83" t="str">
        <f aca="false">IF($L133="","",INDEX(Inv_Num,$L133))</f>
        <v/>
      </c>
      <c r="B133" s="67" t="str">
        <f aca="false">IF($L133="","",INDEX(Inv_Nom,$L133))</f>
        <v/>
      </c>
      <c r="C133" s="67" t="str">
        <f aca="false">IF($L133="","",T(INDEX(Inv_Fourn,$L133)))</f>
        <v/>
      </c>
      <c r="D133" s="83" t="str">
        <f aca="false">IF($L133="","",INDEX(Inv_StatutFDS,$L133))</f>
        <v/>
      </c>
      <c r="E133" s="85" t="str">
        <f aca="false">IF($L133="","",IF(INDEX(Inv_DateFDS,$L133)=0,"—",INDEX(Inv_DateFDS,$L133)))</f>
        <v/>
      </c>
      <c r="F133" s="85" t="str">
        <f aca="false">IF($L133="","",IF(INDEX(Inv_ProchVerif,$L133)="","—",INDEX(Inv_ProchVerif,$L133)))</f>
        <v/>
      </c>
      <c r="G133" s="87" t="str">
        <f aca="true">IF($L133="","",IF(OR(F133="—",F133=""),"—",F133-TODAY()))</f>
        <v/>
      </c>
      <c r="H133" s="83" t="str">
        <f aca="false">IF($L133="","",IF(AND(OR(D133="EXPIRÉE",D133="À RENOUVELER",D133="FDS ABSENTE"),J133="—"),"OUI","—"))</f>
        <v/>
      </c>
      <c r="I133" s="85" t="str">
        <f aca="false">IF($L133="","",IF(INDEX(Inv_DemFDS,$L133)=0,"—",INDEX(Inv_DemFDS,$L133)))</f>
        <v/>
      </c>
      <c r="J133" s="85" t="str">
        <f aca="false">IF($L133="","",IF(INDEX(Inv_RecFDS,$L133)=0,"—",INDEX(Inv_RecFDS,$L133)))</f>
        <v/>
      </c>
      <c r="L133" s="0" t="str">
        <f aca="false">IF(ROW()-5&gt;NbProduits,"",MATCH(SMALL(CleFDS,ROW()-5),CleFDS,0))</f>
        <v/>
      </c>
    </row>
    <row r="134" customFormat="false" ht="15" hidden="false" customHeight="false" outlineLevel="0" collapsed="false">
      <c r="A134" s="83" t="str">
        <f aca="false">IF($L134="","",INDEX(Inv_Num,$L134))</f>
        <v/>
      </c>
      <c r="B134" s="67" t="str">
        <f aca="false">IF($L134="","",INDEX(Inv_Nom,$L134))</f>
        <v/>
      </c>
      <c r="C134" s="67" t="str">
        <f aca="false">IF($L134="","",T(INDEX(Inv_Fourn,$L134)))</f>
        <v/>
      </c>
      <c r="D134" s="83" t="str">
        <f aca="false">IF($L134="","",INDEX(Inv_StatutFDS,$L134))</f>
        <v/>
      </c>
      <c r="E134" s="85" t="str">
        <f aca="false">IF($L134="","",IF(INDEX(Inv_DateFDS,$L134)=0,"—",INDEX(Inv_DateFDS,$L134)))</f>
        <v/>
      </c>
      <c r="F134" s="85" t="str">
        <f aca="false">IF($L134="","",IF(INDEX(Inv_ProchVerif,$L134)="","—",INDEX(Inv_ProchVerif,$L134)))</f>
        <v/>
      </c>
      <c r="G134" s="87" t="str">
        <f aca="true">IF($L134="","",IF(OR(F134="—",F134=""),"—",F134-TODAY()))</f>
        <v/>
      </c>
      <c r="H134" s="83" t="str">
        <f aca="false">IF($L134="","",IF(AND(OR(D134="EXPIRÉE",D134="À RENOUVELER",D134="FDS ABSENTE"),J134="—"),"OUI","—"))</f>
        <v/>
      </c>
      <c r="I134" s="85" t="str">
        <f aca="false">IF($L134="","",IF(INDEX(Inv_DemFDS,$L134)=0,"—",INDEX(Inv_DemFDS,$L134)))</f>
        <v/>
      </c>
      <c r="J134" s="85" t="str">
        <f aca="false">IF($L134="","",IF(INDEX(Inv_RecFDS,$L134)=0,"—",INDEX(Inv_RecFDS,$L134)))</f>
        <v/>
      </c>
      <c r="L134" s="0" t="str">
        <f aca="false">IF(ROW()-5&gt;NbProduits,"",MATCH(SMALL(CleFDS,ROW()-5),CleFDS,0))</f>
        <v/>
      </c>
    </row>
    <row r="135" customFormat="false" ht="15" hidden="false" customHeight="false" outlineLevel="0" collapsed="false">
      <c r="A135" s="83" t="str">
        <f aca="false">IF($L135="","",INDEX(Inv_Num,$L135))</f>
        <v/>
      </c>
      <c r="B135" s="67" t="str">
        <f aca="false">IF($L135="","",INDEX(Inv_Nom,$L135))</f>
        <v/>
      </c>
      <c r="C135" s="67" t="str">
        <f aca="false">IF($L135="","",T(INDEX(Inv_Fourn,$L135)))</f>
        <v/>
      </c>
      <c r="D135" s="83" t="str">
        <f aca="false">IF($L135="","",INDEX(Inv_StatutFDS,$L135))</f>
        <v/>
      </c>
      <c r="E135" s="85" t="str">
        <f aca="false">IF($L135="","",IF(INDEX(Inv_DateFDS,$L135)=0,"—",INDEX(Inv_DateFDS,$L135)))</f>
        <v/>
      </c>
      <c r="F135" s="85" t="str">
        <f aca="false">IF($L135="","",IF(INDEX(Inv_ProchVerif,$L135)="","—",INDEX(Inv_ProchVerif,$L135)))</f>
        <v/>
      </c>
      <c r="G135" s="87" t="str">
        <f aca="true">IF($L135="","",IF(OR(F135="—",F135=""),"—",F135-TODAY()))</f>
        <v/>
      </c>
      <c r="H135" s="83" t="str">
        <f aca="false">IF($L135="","",IF(AND(OR(D135="EXPIRÉE",D135="À RENOUVELER",D135="FDS ABSENTE"),J135="—"),"OUI","—"))</f>
        <v/>
      </c>
      <c r="I135" s="85" t="str">
        <f aca="false">IF($L135="","",IF(INDEX(Inv_DemFDS,$L135)=0,"—",INDEX(Inv_DemFDS,$L135)))</f>
        <v/>
      </c>
      <c r="J135" s="85" t="str">
        <f aca="false">IF($L135="","",IF(INDEX(Inv_RecFDS,$L135)=0,"—",INDEX(Inv_RecFDS,$L135)))</f>
        <v/>
      </c>
      <c r="L135" s="0" t="str">
        <f aca="false">IF(ROW()-5&gt;NbProduits,"",MATCH(SMALL(CleFDS,ROW()-5),CleFDS,0))</f>
        <v/>
      </c>
    </row>
    <row r="136" customFormat="false" ht="15" hidden="false" customHeight="false" outlineLevel="0" collapsed="false">
      <c r="A136" s="83" t="str">
        <f aca="false">IF($L136="","",INDEX(Inv_Num,$L136))</f>
        <v/>
      </c>
      <c r="B136" s="67" t="str">
        <f aca="false">IF($L136="","",INDEX(Inv_Nom,$L136))</f>
        <v/>
      </c>
      <c r="C136" s="67" t="str">
        <f aca="false">IF($L136="","",T(INDEX(Inv_Fourn,$L136)))</f>
        <v/>
      </c>
      <c r="D136" s="83" t="str">
        <f aca="false">IF($L136="","",INDEX(Inv_StatutFDS,$L136))</f>
        <v/>
      </c>
      <c r="E136" s="85" t="str">
        <f aca="false">IF($L136="","",IF(INDEX(Inv_DateFDS,$L136)=0,"—",INDEX(Inv_DateFDS,$L136)))</f>
        <v/>
      </c>
      <c r="F136" s="85" t="str">
        <f aca="false">IF($L136="","",IF(INDEX(Inv_ProchVerif,$L136)="","—",INDEX(Inv_ProchVerif,$L136)))</f>
        <v/>
      </c>
      <c r="G136" s="87" t="str">
        <f aca="true">IF($L136="","",IF(OR(F136="—",F136=""),"—",F136-TODAY()))</f>
        <v/>
      </c>
      <c r="H136" s="83" t="str">
        <f aca="false">IF($L136="","",IF(AND(OR(D136="EXPIRÉE",D136="À RENOUVELER",D136="FDS ABSENTE"),J136="—"),"OUI","—"))</f>
        <v/>
      </c>
      <c r="I136" s="85" t="str">
        <f aca="false">IF($L136="","",IF(INDEX(Inv_DemFDS,$L136)=0,"—",INDEX(Inv_DemFDS,$L136)))</f>
        <v/>
      </c>
      <c r="J136" s="85" t="str">
        <f aca="false">IF($L136="","",IF(INDEX(Inv_RecFDS,$L136)=0,"—",INDEX(Inv_RecFDS,$L136)))</f>
        <v/>
      </c>
      <c r="L136" s="0" t="str">
        <f aca="false">IF(ROW()-5&gt;NbProduits,"",MATCH(SMALL(CleFDS,ROW()-5),CleFDS,0))</f>
        <v/>
      </c>
    </row>
    <row r="137" customFormat="false" ht="15" hidden="false" customHeight="false" outlineLevel="0" collapsed="false">
      <c r="A137" s="83" t="str">
        <f aca="false">IF($L137="","",INDEX(Inv_Num,$L137))</f>
        <v/>
      </c>
      <c r="B137" s="67" t="str">
        <f aca="false">IF($L137="","",INDEX(Inv_Nom,$L137))</f>
        <v/>
      </c>
      <c r="C137" s="67" t="str">
        <f aca="false">IF($L137="","",T(INDEX(Inv_Fourn,$L137)))</f>
        <v/>
      </c>
      <c r="D137" s="83" t="str">
        <f aca="false">IF($L137="","",INDEX(Inv_StatutFDS,$L137))</f>
        <v/>
      </c>
      <c r="E137" s="85" t="str">
        <f aca="false">IF($L137="","",IF(INDEX(Inv_DateFDS,$L137)=0,"—",INDEX(Inv_DateFDS,$L137)))</f>
        <v/>
      </c>
      <c r="F137" s="85" t="str">
        <f aca="false">IF($L137="","",IF(INDEX(Inv_ProchVerif,$L137)="","—",INDEX(Inv_ProchVerif,$L137)))</f>
        <v/>
      </c>
      <c r="G137" s="87" t="str">
        <f aca="true">IF($L137="","",IF(OR(F137="—",F137=""),"—",F137-TODAY()))</f>
        <v/>
      </c>
      <c r="H137" s="83" t="str">
        <f aca="false">IF($L137="","",IF(AND(OR(D137="EXPIRÉE",D137="À RENOUVELER",D137="FDS ABSENTE"),J137="—"),"OUI","—"))</f>
        <v/>
      </c>
      <c r="I137" s="85" t="str">
        <f aca="false">IF($L137="","",IF(INDEX(Inv_DemFDS,$L137)=0,"—",INDEX(Inv_DemFDS,$L137)))</f>
        <v/>
      </c>
      <c r="J137" s="85" t="str">
        <f aca="false">IF($L137="","",IF(INDEX(Inv_RecFDS,$L137)=0,"—",INDEX(Inv_RecFDS,$L137)))</f>
        <v/>
      </c>
      <c r="L137" s="0" t="str">
        <f aca="false">IF(ROW()-5&gt;NbProduits,"",MATCH(SMALL(CleFDS,ROW()-5),CleFDS,0))</f>
        <v/>
      </c>
    </row>
    <row r="138" customFormat="false" ht="15" hidden="false" customHeight="false" outlineLevel="0" collapsed="false">
      <c r="A138" s="83" t="str">
        <f aca="false">IF($L138="","",INDEX(Inv_Num,$L138))</f>
        <v/>
      </c>
      <c r="B138" s="67" t="str">
        <f aca="false">IF($L138="","",INDEX(Inv_Nom,$L138))</f>
        <v/>
      </c>
      <c r="C138" s="67" t="str">
        <f aca="false">IF($L138="","",T(INDEX(Inv_Fourn,$L138)))</f>
        <v/>
      </c>
      <c r="D138" s="83" t="str">
        <f aca="false">IF($L138="","",INDEX(Inv_StatutFDS,$L138))</f>
        <v/>
      </c>
      <c r="E138" s="85" t="str">
        <f aca="false">IF($L138="","",IF(INDEX(Inv_DateFDS,$L138)=0,"—",INDEX(Inv_DateFDS,$L138)))</f>
        <v/>
      </c>
      <c r="F138" s="85" t="str">
        <f aca="false">IF($L138="","",IF(INDEX(Inv_ProchVerif,$L138)="","—",INDEX(Inv_ProchVerif,$L138)))</f>
        <v/>
      </c>
      <c r="G138" s="87" t="str">
        <f aca="true">IF($L138="","",IF(OR(F138="—",F138=""),"—",F138-TODAY()))</f>
        <v/>
      </c>
      <c r="H138" s="83" t="str">
        <f aca="false">IF($L138="","",IF(AND(OR(D138="EXPIRÉE",D138="À RENOUVELER",D138="FDS ABSENTE"),J138="—"),"OUI","—"))</f>
        <v/>
      </c>
      <c r="I138" s="85" t="str">
        <f aca="false">IF($L138="","",IF(INDEX(Inv_DemFDS,$L138)=0,"—",INDEX(Inv_DemFDS,$L138)))</f>
        <v/>
      </c>
      <c r="J138" s="85" t="str">
        <f aca="false">IF($L138="","",IF(INDEX(Inv_RecFDS,$L138)=0,"—",INDEX(Inv_RecFDS,$L138)))</f>
        <v/>
      </c>
      <c r="L138" s="0" t="str">
        <f aca="false">IF(ROW()-5&gt;NbProduits,"",MATCH(SMALL(CleFDS,ROW()-5),CleFDS,0))</f>
        <v/>
      </c>
    </row>
    <row r="139" customFormat="false" ht="15" hidden="false" customHeight="false" outlineLevel="0" collapsed="false">
      <c r="A139" s="83" t="str">
        <f aca="false">IF($L139="","",INDEX(Inv_Num,$L139))</f>
        <v/>
      </c>
      <c r="B139" s="67" t="str">
        <f aca="false">IF($L139="","",INDEX(Inv_Nom,$L139))</f>
        <v/>
      </c>
      <c r="C139" s="67" t="str">
        <f aca="false">IF($L139="","",T(INDEX(Inv_Fourn,$L139)))</f>
        <v/>
      </c>
      <c r="D139" s="83" t="str">
        <f aca="false">IF($L139="","",INDEX(Inv_StatutFDS,$L139))</f>
        <v/>
      </c>
      <c r="E139" s="85" t="str">
        <f aca="false">IF($L139="","",IF(INDEX(Inv_DateFDS,$L139)=0,"—",INDEX(Inv_DateFDS,$L139)))</f>
        <v/>
      </c>
      <c r="F139" s="85" t="str">
        <f aca="false">IF($L139="","",IF(INDEX(Inv_ProchVerif,$L139)="","—",INDEX(Inv_ProchVerif,$L139)))</f>
        <v/>
      </c>
      <c r="G139" s="87" t="str">
        <f aca="true">IF($L139="","",IF(OR(F139="—",F139=""),"—",F139-TODAY()))</f>
        <v/>
      </c>
      <c r="H139" s="83" t="str">
        <f aca="false">IF($L139="","",IF(AND(OR(D139="EXPIRÉE",D139="À RENOUVELER",D139="FDS ABSENTE"),J139="—"),"OUI","—"))</f>
        <v/>
      </c>
      <c r="I139" s="85" t="str">
        <f aca="false">IF($L139="","",IF(INDEX(Inv_DemFDS,$L139)=0,"—",INDEX(Inv_DemFDS,$L139)))</f>
        <v/>
      </c>
      <c r="J139" s="85" t="str">
        <f aca="false">IF($L139="","",IF(INDEX(Inv_RecFDS,$L139)=0,"—",INDEX(Inv_RecFDS,$L139)))</f>
        <v/>
      </c>
      <c r="L139" s="0" t="str">
        <f aca="false">IF(ROW()-5&gt;NbProduits,"",MATCH(SMALL(CleFDS,ROW()-5),CleFDS,0))</f>
        <v/>
      </c>
    </row>
    <row r="140" customFormat="false" ht="15" hidden="false" customHeight="false" outlineLevel="0" collapsed="false">
      <c r="A140" s="83" t="str">
        <f aca="false">IF($L140="","",INDEX(Inv_Num,$L140))</f>
        <v/>
      </c>
      <c r="B140" s="67" t="str">
        <f aca="false">IF($L140="","",INDEX(Inv_Nom,$L140))</f>
        <v/>
      </c>
      <c r="C140" s="67" t="str">
        <f aca="false">IF($L140="","",T(INDEX(Inv_Fourn,$L140)))</f>
        <v/>
      </c>
      <c r="D140" s="83" t="str">
        <f aca="false">IF($L140="","",INDEX(Inv_StatutFDS,$L140))</f>
        <v/>
      </c>
      <c r="E140" s="85" t="str">
        <f aca="false">IF($L140="","",IF(INDEX(Inv_DateFDS,$L140)=0,"—",INDEX(Inv_DateFDS,$L140)))</f>
        <v/>
      </c>
      <c r="F140" s="85" t="str">
        <f aca="false">IF($L140="","",IF(INDEX(Inv_ProchVerif,$L140)="","—",INDEX(Inv_ProchVerif,$L140)))</f>
        <v/>
      </c>
      <c r="G140" s="87" t="str">
        <f aca="true">IF($L140="","",IF(OR(F140="—",F140=""),"—",F140-TODAY()))</f>
        <v/>
      </c>
      <c r="H140" s="83" t="str">
        <f aca="false">IF($L140="","",IF(AND(OR(D140="EXPIRÉE",D140="À RENOUVELER",D140="FDS ABSENTE"),J140="—"),"OUI","—"))</f>
        <v/>
      </c>
      <c r="I140" s="85" t="str">
        <f aca="false">IF($L140="","",IF(INDEX(Inv_DemFDS,$L140)=0,"—",INDEX(Inv_DemFDS,$L140)))</f>
        <v/>
      </c>
      <c r="J140" s="85" t="str">
        <f aca="false">IF($L140="","",IF(INDEX(Inv_RecFDS,$L140)=0,"—",INDEX(Inv_RecFDS,$L140)))</f>
        <v/>
      </c>
      <c r="L140" s="0" t="str">
        <f aca="false">IF(ROW()-5&gt;NbProduits,"",MATCH(SMALL(CleFDS,ROW()-5),CleFDS,0))</f>
        <v/>
      </c>
    </row>
    <row r="141" customFormat="false" ht="15" hidden="false" customHeight="false" outlineLevel="0" collapsed="false">
      <c r="A141" s="83" t="str">
        <f aca="false">IF($L141="","",INDEX(Inv_Num,$L141))</f>
        <v/>
      </c>
      <c r="B141" s="67" t="str">
        <f aca="false">IF($L141="","",INDEX(Inv_Nom,$L141))</f>
        <v/>
      </c>
      <c r="C141" s="67" t="str">
        <f aca="false">IF($L141="","",T(INDEX(Inv_Fourn,$L141)))</f>
        <v/>
      </c>
      <c r="D141" s="83" t="str">
        <f aca="false">IF($L141="","",INDEX(Inv_StatutFDS,$L141))</f>
        <v/>
      </c>
      <c r="E141" s="85" t="str">
        <f aca="false">IF($L141="","",IF(INDEX(Inv_DateFDS,$L141)=0,"—",INDEX(Inv_DateFDS,$L141)))</f>
        <v/>
      </c>
      <c r="F141" s="85" t="str">
        <f aca="false">IF($L141="","",IF(INDEX(Inv_ProchVerif,$L141)="","—",INDEX(Inv_ProchVerif,$L141)))</f>
        <v/>
      </c>
      <c r="G141" s="87" t="str">
        <f aca="true">IF($L141="","",IF(OR(F141="—",F141=""),"—",F141-TODAY()))</f>
        <v/>
      </c>
      <c r="H141" s="83" t="str">
        <f aca="false">IF($L141="","",IF(AND(OR(D141="EXPIRÉE",D141="À RENOUVELER",D141="FDS ABSENTE"),J141="—"),"OUI","—"))</f>
        <v/>
      </c>
      <c r="I141" s="85" t="str">
        <f aca="false">IF($L141="","",IF(INDEX(Inv_DemFDS,$L141)=0,"—",INDEX(Inv_DemFDS,$L141)))</f>
        <v/>
      </c>
      <c r="J141" s="85" t="str">
        <f aca="false">IF($L141="","",IF(INDEX(Inv_RecFDS,$L141)=0,"—",INDEX(Inv_RecFDS,$L141)))</f>
        <v/>
      </c>
      <c r="L141" s="0" t="str">
        <f aca="false">IF(ROW()-5&gt;NbProduits,"",MATCH(SMALL(CleFDS,ROW()-5),CleFDS,0))</f>
        <v/>
      </c>
    </row>
    <row r="142" customFormat="false" ht="15" hidden="false" customHeight="false" outlineLevel="0" collapsed="false">
      <c r="A142" s="83" t="str">
        <f aca="false">IF($L142="","",INDEX(Inv_Num,$L142))</f>
        <v/>
      </c>
      <c r="B142" s="67" t="str">
        <f aca="false">IF($L142="","",INDEX(Inv_Nom,$L142))</f>
        <v/>
      </c>
      <c r="C142" s="67" t="str">
        <f aca="false">IF($L142="","",T(INDEX(Inv_Fourn,$L142)))</f>
        <v/>
      </c>
      <c r="D142" s="83" t="str">
        <f aca="false">IF($L142="","",INDEX(Inv_StatutFDS,$L142))</f>
        <v/>
      </c>
      <c r="E142" s="85" t="str">
        <f aca="false">IF($L142="","",IF(INDEX(Inv_DateFDS,$L142)=0,"—",INDEX(Inv_DateFDS,$L142)))</f>
        <v/>
      </c>
      <c r="F142" s="85" t="str">
        <f aca="false">IF($L142="","",IF(INDEX(Inv_ProchVerif,$L142)="","—",INDEX(Inv_ProchVerif,$L142)))</f>
        <v/>
      </c>
      <c r="G142" s="87" t="str">
        <f aca="true">IF($L142="","",IF(OR(F142="—",F142=""),"—",F142-TODAY()))</f>
        <v/>
      </c>
      <c r="H142" s="83" t="str">
        <f aca="false">IF($L142="","",IF(AND(OR(D142="EXPIRÉE",D142="À RENOUVELER",D142="FDS ABSENTE"),J142="—"),"OUI","—"))</f>
        <v/>
      </c>
      <c r="I142" s="85" t="str">
        <f aca="false">IF($L142="","",IF(INDEX(Inv_DemFDS,$L142)=0,"—",INDEX(Inv_DemFDS,$L142)))</f>
        <v/>
      </c>
      <c r="J142" s="85" t="str">
        <f aca="false">IF($L142="","",IF(INDEX(Inv_RecFDS,$L142)=0,"—",INDEX(Inv_RecFDS,$L142)))</f>
        <v/>
      </c>
      <c r="L142" s="0" t="str">
        <f aca="false">IF(ROW()-5&gt;NbProduits,"",MATCH(SMALL(CleFDS,ROW()-5),CleFDS,0))</f>
        <v/>
      </c>
    </row>
    <row r="143" customFormat="false" ht="15" hidden="false" customHeight="false" outlineLevel="0" collapsed="false">
      <c r="A143" s="83" t="str">
        <f aca="false">IF($L143="","",INDEX(Inv_Num,$L143))</f>
        <v/>
      </c>
      <c r="B143" s="67" t="str">
        <f aca="false">IF($L143="","",INDEX(Inv_Nom,$L143))</f>
        <v/>
      </c>
      <c r="C143" s="67" t="str">
        <f aca="false">IF($L143="","",T(INDEX(Inv_Fourn,$L143)))</f>
        <v/>
      </c>
      <c r="D143" s="83" t="str">
        <f aca="false">IF($L143="","",INDEX(Inv_StatutFDS,$L143))</f>
        <v/>
      </c>
      <c r="E143" s="85" t="str">
        <f aca="false">IF($L143="","",IF(INDEX(Inv_DateFDS,$L143)=0,"—",INDEX(Inv_DateFDS,$L143)))</f>
        <v/>
      </c>
      <c r="F143" s="85" t="str">
        <f aca="false">IF($L143="","",IF(INDEX(Inv_ProchVerif,$L143)="","—",INDEX(Inv_ProchVerif,$L143)))</f>
        <v/>
      </c>
      <c r="G143" s="87" t="str">
        <f aca="true">IF($L143="","",IF(OR(F143="—",F143=""),"—",F143-TODAY()))</f>
        <v/>
      </c>
      <c r="H143" s="83" t="str">
        <f aca="false">IF($L143="","",IF(AND(OR(D143="EXPIRÉE",D143="À RENOUVELER",D143="FDS ABSENTE"),J143="—"),"OUI","—"))</f>
        <v/>
      </c>
      <c r="I143" s="85" t="str">
        <f aca="false">IF($L143="","",IF(INDEX(Inv_DemFDS,$L143)=0,"—",INDEX(Inv_DemFDS,$L143)))</f>
        <v/>
      </c>
      <c r="J143" s="85" t="str">
        <f aca="false">IF($L143="","",IF(INDEX(Inv_RecFDS,$L143)=0,"—",INDEX(Inv_RecFDS,$L143)))</f>
        <v/>
      </c>
      <c r="L143" s="0" t="str">
        <f aca="false">IF(ROW()-5&gt;NbProduits,"",MATCH(SMALL(CleFDS,ROW()-5),CleFDS,0))</f>
        <v/>
      </c>
    </row>
    <row r="144" customFormat="false" ht="15" hidden="false" customHeight="false" outlineLevel="0" collapsed="false">
      <c r="A144" s="83" t="str">
        <f aca="false">IF($L144="","",INDEX(Inv_Num,$L144))</f>
        <v/>
      </c>
      <c r="B144" s="67" t="str">
        <f aca="false">IF($L144="","",INDEX(Inv_Nom,$L144))</f>
        <v/>
      </c>
      <c r="C144" s="67" t="str">
        <f aca="false">IF($L144="","",T(INDEX(Inv_Fourn,$L144)))</f>
        <v/>
      </c>
      <c r="D144" s="83" t="str">
        <f aca="false">IF($L144="","",INDEX(Inv_StatutFDS,$L144))</f>
        <v/>
      </c>
      <c r="E144" s="85" t="str">
        <f aca="false">IF($L144="","",IF(INDEX(Inv_DateFDS,$L144)=0,"—",INDEX(Inv_DateFDS,$L144)))</f>
        <v/>
      </c>
      <c r="F144" s="85" t="str">
        <f aca="false">IF($L144="","",IF(INDEX(Inv_ProchVerif,$L144)="","—",INDEX(Inv_ProchVerif,$L144)))</f>
        <v/>
      </c>
      <c r="G144" s="87" t="str">
        <f aca="true">IF($L144="","",IF(OR(F144="—",F144=""),"—",F144-TODAY()))</f>
        <v/>
      </c>
      <c r="H144" s="83" t="str">
        <f aca="false">IF($L144="","",IF(AND(OR(D144="EXPIRÉE",D144="À RENOUVELER",D144="FDS ABSENTE"),J144="—"),"OUI","—"))</f>
        <v/>
      </c>
      <c r="I144" s="85" t="str">
        <f aca="false">IF($L144="","",IF(INDEX(Inv_DemFDS,$L144)=0,"—",INDEX(Inv_DemFDS,$L144)))</f>
        <v/>
      </c>
      <c r="J144" s="85" t="str">
        <f aca="false">IF($L144="","",IF(INDEX(Inv_RecFDS,$L144)=0,"—",INDEX(Inv_RecFDS,$L144)))</f>
        <v/>
      </c>
      <c r="L144" s="0" t="str">
        <f aca="false">IF(ROW()-5&gt;NbProduits,"",MATCH(SMALL(CleFDS,ROW()-5),CleFDS,0))</f>
        <v/>
      </c>
    </row>
    <row r="145" customFormat="false" ht="15" hidden="false" customHeight="false" outlineLevel="0" collapsed="false">
      <c r="A145" s="83" t="str">
        <f aca="false">IF($L145="","",INDEX(Inv_Num,$L145))</f>
        <v/>
      </c>
      <c r="B145" s="67" t="str">
        <f aca="false">IF($L145="","",INDEX(Inv_Nom,$L145))</f>
        <v/>
      </c>
      <c r="C145" s="67" t="str">
        <f aca="false">IF($L145="","",T(INDEX(Inv_Fourn,$L145)))</f>
        <v/>
      </c>
      <c r="D145" s="83" t="str">
        <f aca="false">IF($L145="","",INDEX(Inv_StatutFDS,$L145))</f>
        <v/>
      </c>
      <c r="E145" s="85" t="str">
        <f aca="false">IF($L145="","",IF(INDEX(Inv_DateFDS,$L145)=0,"—",INDEX(Inv_DateFDS,$L145)))</f>
        <v/>
      </c>
      <c r="F145" s="85" t="str">
        <f aca="false">IF($L145="","",IF(INDEX(Inv_ProchVerif,$L145)="","—",INDEX(Inv_ProchVerif,$L145)))</f>
        <v/>
      </c>
      <c r="G145" s="87" t="str">
        <f aca="true">IF($L145="","",IF(OR(F145="—",F145=""),"—",F145-TODAY()))</f>
        <v/>
      </c>
      <c r="H145" s="83" t="str">
        <f aca="false">IF($L145="","",IF(AND(OR(D145="EXPIRÉE",D145="À RENOUVELER",D145="FDS ABSENTE"),J145="—"),"OUI","—"))</f>
        <v/>
      </c>
      <c r="I145" s="85" t="str">
        <f aca="false">IF($L145="","",IF(INDEX(Inv_DemFDS,$L145)=0,"—",INDEX(Inv_DemFDS,$L145)))</f>
        <v/>
      </c>
      <c r="J145" s="85" t="str">
        <f aca="false">IF($L145="","",IF(INDEX(Inv_RecFDS,$L145)=0,"—",INDEX(Inv_RecFDS,$L145)))</f>
        <v/>
      </c>
      <c r="L145" s="0" t="str">
        <f aca="false">IF(ROW()-5&gt;NbProduits,"",MATCH(SMALL(CleFDS,ROW()-5),CleFDS,0))</f>
        <v/>
      </c>
    </row>
    <row r="146" customFormat="false" ht="15" hidden="false" customHeight="false" outlineLevel="0" collapsed="false">
      <c r="A146" s="83" t="str">
        <f aca="false">IF($L146="","",INDEX(Inv_Num,$L146))</f>
        <v/>
      </c>
      <c r="B146" s="67" t="str">
        <f aca="false">IF($L146="","",INDEX(Inv_Nom,$L146))</f>
        <v/>
      </c>
      <c r="C146" s="67" t="str">
        <f aca="false">IF($L146="","",T(INDEX(Inv_Fourn,$L146)))</f>
        <v/>
      </c>
      <c r="D146" s="83" t="str">
        <f aca="false">IF($L146="","",INDEX(Inv_StatutFDS,$L146))</f>
        <v/>
      </c>
      <c r="E146" s="85" t="str">
        <f aca="false">IF($L146="","",IF(INDEX(Inv_DateFDS,$L146)=0,"—",INDEX(Inv_DateFDS,$L146)))</f>
        <v/>
      </c>
      <c r="F146" s="85" t="str">
        <f aca="false">IF($L146="","",IF(INDEX(Inv_ProchVerif,$L146)="","—",INDEX(Inv_ProchVerif,$L146)))</f>
        <v/>
      </c>
      <c r="G146" s="87" t="str">
        <f aca="true">IF($L146="","",IF(OR(F146="—",F146=""),"—",F146-TODAY()))</f>
        <v/>
      </c>
      <c r="H146" s="83" t="str">
        <f aca="false">IF($L146="","",IF(AND(OR(D146="EXPIRÉE",D146="À RENOUVELER",D146="FDS ABSENTE"),J146="—"),"OUI","—"))</f>
        <v/>
      </c>
      <c r="I146" s="85" t="str">
        <f aca="false">IF($L146="","",IF(INDEX(Inv_DemFDS,$L146)=0,"—",INDEX(Inv_DemFDS,$L146)))</f>
        <v/>
      </c>
      <c r="J146" s="85" t="str">
        <f aca="false">IF($L146="","",IF(INDEX(Inv_RecFDS,$L146)=0,"—",INDEX(Inv_RecFDS,$L146)))</f>
        <v/>
      </c>
      <c r="L146" s="0" t="str">
        <f aca="false">IF(ROW()-5&gt;NbProduits,"",MATCH(SMALL(CleFDS,ROW()-5),CleFDS,0))</f>
        <v/>
      </c>
    </row>
    <row r="147" customFormat="false" ht="15" hidden="false" customHeight="false" outlineLevel="0" collapsed="false">
      <c r="A147" s="83" t="str">
        <f aca="false">IF($L147="","",INDEX(Inv_Num,$L147))</f>
        <v/>
      </c>
      <c r="B147" s="67" t="str">
        <f aca="false">IF($L147="","",INDEX(Inv_Nom,$L147))</f>
        <v/>
      </c>
      <c r="C147" s="67" t="str">
        <f aca="false">IF($L147="","",T(INDEX(Inv_Fourn,$L147)))</f>
        <v/>
      </c>
      <c r="D147" s="83" t="str">
        <f aca="false">IF($L147="","",INDEX(Inv_StatutFDS,$L147))</f>
        <v/>
      </c>
      <c r="E147" s="85" t="str">
        <f aca="false">IF($L147="","",IF(INDEX(Inv_DateFDS,$L147)=0,"—",INDEX(Inv_DateFDS,$L147)))</f>
        <v/>
      </c>
      <c r="F147" s="85" t="str">
        <f aca="false">IF($L147="","",IF(INDEX(Inv_ProchVerif,$L147)="","—",INDEX(Inv_ProchVerif,$L147)))</f>
        <v/>
      </c>
      <c r="G147" s="87" t="str">
        <f aca="true">IF($L147="","",IF(OR(F147="—",F147=""),"—",F147-TODAY()))</f>
        <v/>
      </c>
      <c r="H147" s="83" t="str">
        <f aca="false">IF($L147="","",IF(AND(OR(D147="EXPIRÉE",D147="À RENOUVELER",D147="FDS ABSENTE"),J147="—"),"OUI","—"))</f>
        <v/>
      </c>
      <c r="I147" s="85" t="str">
        <f aca="false">IF($L147="","",IF(INDEX(Inv_DemFDS,$L147)=0,"—",INDEX(Inv_DemFDS,$L147)))</f>
        <v/>
      </c>
      <c r="J147" s="85" t="str">
        <f aca="false">IF($L147="","",IF(INDEX(Inv_RecFDS,$L147)=0,"—",INDEX(Inv_RecFDS,$L147)))</f>
        <v/>
      </c>
      <c r="L147" s="0" t="str">
        <f aca="false">IF(ROW()-5&gt;NbProduits,"",MATCH(SMALL(CleFDS,ROW()-5),CleFDS,0))</f>
        <v/>
      </c>
    </row>
    <row r="148" customFormat="false" ht="15" hidden="false" customHeight="false" outlineLevel="0" collapsed="false">
      <c r="A148" s="83" t="str">
        <f aca="false">IF($L148="","",INDEX(Inv_Num,$L148))</f>
        <v/>
      </c>
      <c r="B148" s="67" t="str">
        <f aca="false">IF($L148="","",INDEX(Inv_Nom,$L148))</f>
        <v/>
      </c>
      <c r="C148" s="67" t="str">
        <f aca="false">IF($L148="","",T(INDEX(Inv_Fourn,$L148)))</f>
        <v/>
      </c>
      <c r="D148" s="83" t="str">
        <f aca="false">IF($L148="","",INDEX(Inv_StatutFDS,$L148))</f>
        <v/>
      </c>
      <c r="E148" s="85" t="str">
        <f aca="false">IF($L148="","",IF(INDEX(Inv_DateFDS,$L148)=0,"—",INDEX(Inv_DateFDS,$L148)))</f>
        <v/>
      </c>
      <c r="F148" s="85" t="str">
        <f aca="false">IF($L148="","",IF(INDEX(Inv_ProchVerif,$L148)="","—",INDEX(Inv_ProchVerif,$L148)))</f>
        <v/>
      </c>
      <c r="G148" s="87" t="str">
        <f aca="true">IF($L148="","",IF(OR(F148="—",F148=""),"—",F148-TODAY()))</f>
        <v/>
      </c>
      <c r="H148" s="83" t="str">
        <f aca="false">IF($L148="","",IF(AND(OR(D148="EXPIRÉE",D148="À RENOUVELER",D148="FDS ABSENTE"),J148="—"),"OUI","—"))</f>
        <v/>
      </c>
      <c r="I148" s="85" t="str">
        <f aca="false">IF($L148="","",IF(INDEX(Inv_DemFDS,$L148)=0,"—",INDEX(Inv_DemFDS,$L148)))</f>
        <v/>
      </c>
      <c r="J148" s="85" t="str">
        <f aca="false">IF($L148="","",IF(INDEX(Inv_RecFDS,$L148)=0,"—",INDEX(Inv_RecFDS,$L148)))</f>
        <v/>
      </c>
      <c r="L148" s="0" t="str">
        <f aca="false">IF(ROW()-5&gt;NbProduits,"",MATCH(SMALL(CleFDS,ROW()-5),CleFDS,0))</f>
        <v/>
      </c>
    </row>
    <row r="149" customFormat="false" ht="15" hidden="false" customHeight="false" outlineLevel="0" collapsed="false">
      <c r="A149" s="83" t="str">
        <f aca="false">IF($L149="","",INDEX(Inv_Num,$L149))</f>
        <v/>
      </c>
      <c r="B149" s="67" t="str">
        <f aca="false">IF($L149="","",INDEX(Inv_Nom,$L149))</f>
        <v/>
      </c>
      <c r="C149" s="67" t="str">
        <f aca="false">IF($L149="","",T(INDEX(Inv_Fourn,$L149)))</f>
        <v/>
      </c>
      <c r="D149" s="83" t="str">
        <f aca="false">IF($L149="","",INDEX(Inv_StatutFDS,$L149))</f>
        <v/>
      </c>
      <c r="E149" s="85" t="str">
        <f aca="false">IF($L149="","",IF(INDEX(Inv_DateFDS,$L149)=0,"—",INDEX(Inv_DateFDS,$L149)))</f>
        <v/>
      </c>
      <c r="F149" s="85" t="str">
        <f aca="false">IF($L149="","",IF(INDEX(Inv_ProchVerif,$L149)="","—",INDEX(Inv_ProchVerif,$L149)))</f>
        <v/>
      </c>
      <c r="G149" s="87" t="str">
        <f aca="true">IF($L149="","",IF(OR(F149="—",F149=""),"—",F149-TODAY()))</f>
        <v/>
      </c>
      <c r="H149" s="83" t="str">
        <f aca="false">IF($L149="","",IF(AND(OR(D149="EXPIRÉE",D149="À RENOUVELER",D149="FDS ABSENTE"),J149="—"),"OUI","—"))</f>
        <v/>
      </c>
      <c r="I149" s="85" t="str">
        <f aca="false">IF($L149="","",IF(INDEX(Inv_DemFDS,$L149)=0,"—",INDEX(Inv_DemFDS,$L149)))</f>
        <v/>
      </c>
      <c r="J149" s="85" t="str">
        <f aca="false">IF($L149="","",IF(INDEX(Inv_RecFDS,$L149)=0,"—",INDEX(Inv_RecFDS,$L149)))</f>
        <v/>
      </c>
      <c r="L149" s="0" t="str">
        <f aca="false">IF(ROW()-5&gt;NbProduits,"",MATCH(SMALL(CleFDS,ROW()-5),CleFDS,0))</f>
        <v/>
      </c>
    </row>
    <row r="150" customFormat="false" ht="15" hidden="false" customHeight="false" outlineLevel="0" collapsed="false">
      <c r="A150" s="83" t="str">
        <f aca="false">IF($L150="","",INDEX(Inv_Num,$L150))</f>
        <v/>
      </c>
      <c r="B150" s="67" t="str">
        <f aca="false">IF($L150="","",INDEX(Inv_Nom,$L150))</f>
        <v/>
      </c>
      <c r="C150" s="67" t="str">
        <f aca="false">IF($L150="","",T(INDEX(Inv_Fourn,$L150)))</f>
        <v/>
      </c>
      <c r="D150" s="83" t="str">
        <f aca="false">IF($L150="","",INDEX(Inv_StatutFDS,$L150))</f>
        <v/>
      </c>
      <c r="E150" s="85" t="str">
        <f aca="false">IF($L150="","",IF(INDEX(Inv_DateFDS,$L150)=0,"—",INDEX(Inv_DateFDS,$L150)))</f>
        <v/>
      </c>
      <c r="F150" s="85" t="str">
        <f aca="false">IF($L150="","",IF(INDEX(Inv_ProchVerif,$L150)="","—",INDEX(Inv_ProchVerif,$L150)))</f>
        <v/>
      </c>
      <c r="G150" s="87" t="str">
        <f aca="true">IF($L150="","",IF(OR(F150="—",F150=""),"—",F150-TODAY()))</f>
        <v/>
      </c>
      <c r="H150" s="83" t="str">
        <f aca="false">IF($L150="","",IF(AND(OR(D150="EXPIRÉE",D150="À RENOUVELER",D150="FDS ABSENTE"),J150="—"),"OUI","—"))</f>
        <v/>
      </c>
      <c r="I150" s="85" t="str">
        <f aca="false">IF($L150="","",IF(INDEX(Inv_DemFDS,$L150)=0,"—",INDEX(Inv_DemFDS,$L150)))</f>
        <v/>
      </c>
      <c r="J150" s="85" t="str">
        <f aca="false">IF($L150="","",IF(INDEX(Inv_RecFDS,$L150)=0,"—",INDEX(Inv_RecFDS,$L150)))</f>
        <v/>
      </c>
      <c r="L150" s="0" t="str">
        <f aca="false">IF(ROW()-5&gt;NbProduits,"",MATCH(SMALL(CleFDS,ROW()-5),CleFDS,0))</f>
        <v/>
      </c>
    </row>
    <row r="151" customFormat="false" ht="15" hidden="false" customHeight="false" outlineLevel="0" collapsed="false">
      <c r="A151" s="83" t="str">
        <f aca="false">IF($L151="","",INDEX(Inv_Num,$L151))</f>
        <v/>
      </c>
      <c r="B151" s="67" t="str">
        <f aca="false">IF($L151="","",INDEX(Inv_Nom,$L151))</f>
        <v/>
      </c>
      <c r="C151" s="67" t="str">
        <f aca="false">IF($L151="","",T(INDEX(Inv_Fourn,$L151)))</f>
        <v/>
      </c>
      <c r="D151" s="83" t="str">
        <f aca="false">IF($L151="","",INDEX(Inv_StatutFDS,$L151))</f>
        <v/>
      </c>
      <c r="E151" s="85" t="str">
        <f aca="false">IF($L151="","",IF(INDEX(Inv_DateFDS,$L151)=0,"—",INDEX(Inv_DateFDS,$L151)))</f>
        <v/>
      </c>
      <c r="F151" s="85" t="str">
        <f aca="false">IF($L151="","",IF(INDEX(Inv_ProchVerif,$L151)="","—",INDEX(Inv_ProchVerif,$L151)))</f>
        <v/>
      </c>
      <c r="G151" s="87" t="str">
        <f aca="true">IF($L151="","",IF(OR(F151="—",F151=""),"—",F151-TODAY()))</f>
        <v/>
      </c>
      <c r="H151" s="83" t="str">
        <f aca="false">IF($L151="","",IF(AND(OR(D151="EXPIRÉE",D151="À RENOUVELER",D151="FDS ABSENTE"),J151="—"),"OUI","—"))</f>
        <v/>
      </c>
      <c r="I151" s="85" t="str">
        <f aca="false">IF($L151="","",IF(INDEX(Inv_DemFDS,$L151)=0,"—",INDEX(Inv_DemFDS,$L151)))</f>
        <v/>
      </c>
      <c r="J151" s="85" t="str">
        <f aca="false">IF($L151="","",IF(INDEX(Inv_RecFDS,$L151)=0,"—",INDEX(Inv_RecFDS,$L151)))</f>
        <v/>
      </c>
      <c r="L151" s="0" t="str">
        <f aca="false">IF(ROW()-5&gt;NbProduits,"",MATCH(SMALL(CleFDS,ROW()-5),CleFDS,0))</f>
        <v/>
      </c>
    </row>
    <row r="152" customFormat="false" ht="15" hidden="false" customHeight="false" outlineLevel="0" collapsed="false">
      <c r="A152" s="83" t="str">
        <f aca="false">IF($L152="","",INDEX(Inv_Num,$L152))</f>
        <v/>
      </c>
      <c r="B152" s="67" t="str">
        <f aca="false">IF($L152="","",INDEX(Inv_Nom,$L152))</f>
        <v/>
      </c>
      <c r="C152" s="67" t="str">
        <f aca="false">IF($L152="","",T(INDEX(Inv_Fourn,$L152)))</f>
        <v/>
      </c>
      <c r="D152" s="83" t="str">
        <f aca="false">IF($L152="","",INDEX(Inv_StatutFDS,$L152))</f>
        <v/>
      </c>
      <c r="E152" s="85" t="str">
        <f aca="false">IF($L152="","",IF(INDEX(Inv_DateFDS,$L152)=0,"—",INDEX(Inv_DateFDS,$L152)))</f>
        <v/>
      </c>
      <c r="F152" s="85" t="str">
        <f aca="false">IF($L152="","",IF(INDEX(Inv_ProchVerif,$L152)="","—",INDEX(Inv_ProchVerif,$L152)))</f>
        <v/>
      </c>
      <c r="G152" s="87" t="str">
        <f aca="true">IF($L152="","",IF(OR(F152="—",F152=""),"—",F152-TODAY()))</f>
        <v/>
      </c>
      <c r="H152" s="83" t="str">
        <f aca="false">IF($L152="","",IF(AND(OR(D152="EXPIRÉE",D152="À RENOUVELER",D152="FDS ABSENTE"),J152="—"),"OUI","—"))</f>
        <v/>
      </c>
      <c r="I152" s="85" t="str">
        <f aca="false">IF($L152="","",IF(INDEX(Inv_DemFDS,$L152)=0,"—",INDEX(Inv_DemFDS,$L152)))</f>
        <v/>
      </c>
      <c r="J152" s="85" t="str">
        <f aca="false">IF($L152="","",IF(INDEX(Inv_RecFDS,$L152)=0,"—",INDEX(Inv_RecFDS,$L152)))</f>
        <v/>
      </c>
      <c r="L152" s="0" t="str">
        <f aca="false">IF(ROW()-5&gt;NbProduits,"",MATCH(SMALL(CleFDS,ROW()-5),CleFDS,0))</f>
        <v/>
      </c>
    </row>
    <row r="153" customFormat="false" ht="15" hidden="false" customHeight="false" outlineLevel="0" collapsed="false">
      <c r="A153" s="83" t="str">
        <f aca="false">IF($L153="","",INDEX(Inv_Num,$L153))</f>
        <v/>
      </c>
      <c r="B153" s="67" t="str">
        <f aca="false">IF($L153="","",INDEX(Inv_Nom,$L153))</f>
        <v/>
      </c>
      <c r="C153" s="67" t="str">
        <f aca="false">IF($L153="","",T(INDEX(Inv_Fourn,$L153)))</f>
        <v/>
      </c>
      <c r="D153" s="83" t="str">
        <f aca="false">IF($L153="","",INDEX(Inv_StatutFDS,$L153))</f>
        <v/>
      </c>
      <c r="E153" s="85" t="str">
        <f aca="false">IF($L153="","",IF(INDEX(Inv_DateFDS,$L153)=0,"—",INDEX(Inv_DateFDS,$L153)))</f>
        <v/>
      </c>
      <c r="F153" s="85" t="str">
        <f aca="false">IF($L153="","",IF(INDEX(Inv_ProchVerif,$L153)="","—",INDEX(Inv_ProchVerif,$L153)))</f>
        <v/>
      </c>
      <c r="G153" s="87" t="str">
        <f aca="true">IF($L153="","",IF(OR(F153="—",F153=""),"—",F153-TODAY()))</f>
        <v/>
      </c>
      <c r="H153" s="83" t="str">
        <f aca="false">IF($L153="","",IF(AND(OR(D153="EXPIRÉE",D153="À RENOUVELER",D153="FDS ABSENTE"),J153="—"),"OUI","—"))</f>
        <v/>
      </c>
      <c r="I153" s="85" t="str">
        <f aca="false">IF($L153="","",IF(INDEX(Inv_DemFDS,$L153)=0,"—",INDEX(Inv_DemFDS,$L153)))</f>
        <v/>
      </c>
      <c r="J153" s="85" t="str">
        <f aca="false">IF($L153="","",IF(INDEX(Inv_RecFDS,$L153)=0,"—",INDEX(Inv_RecFDS,$L153)))</f>
        <v/>
      </c>
      <c r="L153" s="0" t="str">
        <f aca="false">IF(ROW()-5&gt;NbProduits,"",MATCH(SMALL(CleFDS,ROW()-5),CleFDS,0))</f>
        <v/>
      </c>
    </row>
    <row r="154" customFormat="false" ht="15" hidden="false" customHeight="false" outlineLevel="0" collapsed="false">
      <c r="A154" s="83" t="str">
        <f aca="false">IF($L154="","",INDEX(Inv_Num,$L154))</f>
        <v/>
      </c>
      <c r="B154" s="67" t="str">
        <f aca="false">IF($L154="","",INDEX(Inv_Nom,$L154))</f>
        <v/>
      </c>
      <c r="C154" s="67" t="str">
        <f aca="false">IF($L154="","",T(INDEX(Inv_Fourn,$L154)))</f>
        <v/>
      </c>
      <c r="D154" s="83" t="str">
        <f aca="false">IF($L154="","",INDEX(Inv_StatutFDS,$L154))</f>
        <v/>
      </c>
      <c r="E154" s="85" t="str">
        <f aca="false">IF($L154="","",IF(INDEX(Inv_DateFDS,$L154)=0,"—",INDEX(Inv_DateFDS,$L154)))</f>
        <v/>
      </c>
      <c r="F154" s="85" t="str">
        <f aca="false">IF($L154="","",IF(INDEX(Inv_ProchVerif,$L154)="","—",INDEX(Inv_ProchVerif,$L154)))</f>
        <v/>
      </c>
      <c r="G154" s="87" t="str">
        <f aca="true">IF($L154="","",IF(OR(F154="—",F154=""),"—",F154-TODAY()))</f>
        <v/>
      </c>
      <c r="H154" s="83" t="str">
        <f aca="false">IF($L154="","",IF(AND(OR(D154="EXPIRÉE",D154="À RENOUVELER",D154="FDS ABSENTE"),J154="—"),"OUI","—"))</f>
        <v/>
      </c>
      <c r="I154" s="85" t="str">
        <f aca="false">IF($L154="","",IF(INDEX(Inv_DemFDS,$L154)=0,"—",INDEX(Inv_DemFDS,$L154)))</f>
        <v/>
      </c>
      <c r="J154" s="85" t="str">
        <f aca="false">IF($L154="","",IF(INDEX(Inv_RecFDS,$L154)=0,"—",INDEX(Inv_RecFDS,$L154)))</f>
        <v/>
      </c>
      <c r="L154" s="0" t="str">
        <f aca="false">IF(ROW()-5&gt;NbProduits,"",MATCH(SMALL(CleFDS,ROW()-5),CleFDS,0))</f>
        <v/>
      </c>
    </row>
    <row r="155" customFormat="false" ht="15" hidden="false" customHeight="false" outlineLevel="0" collapsed="false">
      <c r="A155" s="83" t="str">
        <f aca="false">IF($L155="","",INDEX(Inv_Num,$L155))</f>
        <v/>
      </c>
      <c r="B155" s="67" t="str">
        <f aca="false">IF($L155="","",INDEX(Inv_Nom,$L155))</f>
        <v/>
      </c>
      <c r="C155" s="67" t="str">
        <f aca="false">IF($L155="","",T(INDEX(Inv_Fourn,$L155)))</f>
        <v/>
      </c>
      <c r="D155" s="83" t="str">
        <f aca="false">IF($L155="","",INDEX(Inv_StatutFDS,$L155))</f>
        <v/>
      </c>
      <c r="E155" s="85" t="str">
        <f aca="false">IF($L155="","",IF(INDEX(Inv_DateFDS,$L155)=0,"—",INDEX(Inv_DateFDS,$L155)))</f>
        <v/>
      </c>
      <c r="F155" s="85" t="str">
        <f aca="false">IF($L155="","",IF(INDEX(Inv_ProchVerif,$L155)="","—",INDEX(Inv_ProchVerif,$L155)))</f>
        <v/>
      </c>
      <c r="G155" s="87" t="str">
        <f aca="true">IF($L155="","",IF(OR(F155="—",F155=""),"—",F155-TODAY()))</f>
        <v/>
      </c>
      <c r="H155" s="83" t="str">
        <f aca="false">IF($L155="","",IF(AND(OR(D155="EXPIRÉE",D155="À RENOUVELER",D155="FDS ABSENTE"),J155="—"),"OUI","—"))</f>
        <v/>
      </c>
      <c r="I155" s="85" t="str">
        <f aca="false">IF($L155="","",IF(INDEX(Inv_DemFDS,$L155)=0,"—",INDEX(Inv_DemFDS,$L155)))</f>
        <v/>
      </c>
      <c r="J155" s="85" t="str">
        <f aca="false">IF($L155="","",IF(INDEX(Inv_RecFDS,$L155)=0,"—",INDEX(Inv_RecFDS,$L155)))</f>
        <v/>
      </c>
      <c r="L155" s="0" t="str">
        <f aca="false">IF(ROW()-5&gt;NbProduits,"",MATCH(SMALL(CleFDS,ROW()-5),CleFDS,0))</f>
        <v/>
      </c>
    </row>
    <row r="156" customFormat="false" ht="15" hidden="false" customHeight="false" outlineLevel="0" collapsed="false">
      <c r="A156" s="83" t="str">
        <f aca="false">IF($L156="","",INDEX(Inv_Num,$L156))</f>
        <v/>
      </c>
      <c r="B156" s="67" t="str">
        <f aca="false">IF($L156="","",INDEX(Inv_Nom,$L156))</f>
        <v/>
      </c>
      <c r="C156" s="67" t="str">
        <f aca="false">IF($L156="","",T(INDEX(Inv_Fourn,$L156)))</f>
        <v/>
      </c>
      <c r="D156" s="83" t="str">
        <f aca="false">IF($L156="","",INDEX(Inv_StatutFDS,$L156))</f>
        <v/>
      </c>
      <c r="E156" s="85" t="str">
        <f aca="false">IF($L156="","",IF(INDEX(Inv_DateFDS,$L156)=0,"—",INDEX(Inv_DateFDS,$L156)))</f>
        <v/>
      </c>
      <c r="F156" s="85" t="str">
        <f aca="false">IF($L156="","",IF(INDEX(Inv_ProchVerif,$L156)="","—",INDEX(Inv_ProchVerif,$L156)))</f>
        <v/>
      </c>
      <c r="G156" s="87" t="str">
        <f aca="true">IF($L156="","",IF(OR(F156="—",F156=""),"—",F156-TODAY()))</f>
        <v/>
      </c>
      <c r="H156" s="83" t="str">
        <f aca="false">IF($L156="","",IF(AND(OR(D156="EXPIRÉE",D156="À RENOUVELER",D156="FDS ABSENTE"),J156="—"),"OUI","—"))</f>
        <v/>
      </c>
      <c r="I156" s="85" t="str">
        <f aca="false">IF($L156="","",IF(INDEX(Inv_DemFDS,$L156)=0,"—",INDEX(Inv_DemFDS,$L156)))</f>
        <v/>
      </c>
      <c r="J156" s="85" t="str">
        <f aca="false">IF($L156="","",IF(INDEX(Inv_RecFDS,$L156)=0,"—",INDEX(Inv_RecFDS,$L156)))</f>
        <v/>
      </c>
      <c r="L156" s="0" t="str">
        <f aca="false">IF(ROW()-5&gt;NbProduits,"",MATCH(SMALL(CleFDS,ROW()-5),CleFDS,0))</f>
        <v/>
      </c>
    </row>
    <row r="157" customFormat="false" ht="15" hidden="false" customHeight="false" outlineLevel="0" collapsed="false">
      <c r="A157" s="83" t="str">
        <f aca="false">IF($L157="","",INDEX(Inv_Num,$L157))</f>
        <v/>
      </c>
      <c r="B157" s="67" t="str">
        <f aca="false">IF($L157="","",INDEX(Inv_Nom,$L157))</f>
        <v/>
      </c>
      <c r="C157" s="67" t="str">
        <f aca="false">IF($L157="","",T(INDEX(Inv_Fourn,$L157)))</f>
        <v/>
      </c>
      <c r="D157" s="83" t="str">
        <f aca="false">IF($L157="","",INDEX(Inv_StatutFDS,$L157))</f>
        <v/>
      </c>
      <c r="E157" s="85" t="str">
        <f aca="false">IF($L157="","",IF(INDEX(Inv_DateFDS,$L157)=0,"—",INDEX(Inv_DateFDS,$L157)))</f>
        <v/>
      </c>
      <c r="F157" s="85" t="str">
        <f aca="false">IF($L157="","",IF(INDEX(Inv_ProchVerif,$L157)="","—",INDEX(Inv_ProchVerif,$L157)))</f>
        <v/>
      </c>
      <c r="G157" s="87" t="str">
        <f aca="true">IF($L157="","",IF(OR(F157="—",F157=""),"—",F157-TODAY()))</f>
        <v/>
      </c>
      <c r="H157" s="83" t="str">
        <f aca="false">IF($L157="","",IF(AND(OR(D157="EXPIRÉE",D157="À RENOUVELER",D157="FDS ABSENTE"),J157="—"),"OUI","—"))</f>
        <v/>
      </c>
      <c r="I157" s="85" t="str">
        <f aca="false">IF($L157="","",IF(INDEX(Inv_DemFDS,$L157)=0,"—",INDEX(Inv_DemFDS,$L157)))</f>
        <v/>
      </c>
      <c r="J157" s="85" t="str">
        <f aca="false">IF($L157="","",IF(INDEX(Inv_RecFDS,$L157)=0,"—",INDEX(Inv_RecFDS,$L157)))</f>
        <v/>
      </c>
      <c r="L157" s="0" t="str">
        <f aca="false">IF(ROW()-5&gt;NbProduits,"",MATCH(SMALL(CleFDS,ROW()-5),CleFDS,0))</f>
        <v/>
      </c>
    </row>
    <row r="158" customFormat="false" ht="15" hidden="false" customHeight="false" outlineLevel="0" collapsed="false">
      <c r="A158" s="83" t="str">
        <f aca="false">IF($L158="","",INDEX(Inv_Num,$L158))</f>
        <v/>
      </c>
      <c r="B158" s="67" t="str">
        <f aca="false">IF($L158="","",INDEX(Inv_Nom,$L158))</f>
        <v/>
      </c>
      <c r="C158" s="67" t="str">
        <f aca="false">IF($L158="","",T(INDEX(Inv_Fourn,$L158)))</f>
        <v/>
      </c>
      <c r="D158" s="83" t="str">
        <f aca="false">IF($L158="","",INDEX(Inv_StatutFDS,$L158))</f>
        <v/>
      </c>
      <c r="E158" s="85" t="str">
        <f aca="false">IF($L158="","",IF(INDEX(Inv_DateFDS,$L158)=0,"—",INDEX(Inv_DateFDS,$L158)))</f>
        <v/>
      </c>
      <c r="F158" s="85" t="str">
        <f aca="false">IF($L158="","",IF(INDEX(Inv_ProchVerif,$L158)="","—",INDEX(Inv_ProchVerif,$L158)))</f>
        <v/>
      </c>
      <c r="G158" s="87" t="str">
        <f aca="true">IF($L158="","",IF(OR(F158="—",F158=""),"—",F158-TODAY()))</f>
        <v/>
      </c>
      <c r="H158" s="83" t="str">
        <f aca="false">IF($L158="","",IF(AND(OR(D158="EXPIRÉE",D158="À RENOUVELER",D158="FDS ABSENTE"),J158="—"),"OUI","—"))</f>
        <v/>
      </c>
      <c r="I158" s="85" t="str">
        <f aca="false">IF($L158="","",IF(INDEX(Inv_DemFDS,$L158)=0,"—",INDEX(Inv_DemFDS,$L158)))</f>
        <v/>
      </c>
      <c r="J158" s="85" t="str">
        <f aca="false">IF($L158="","",IF(INDEX(Inv_RecFDS,$L158)=0,"—",INDEX(Inv_RecFDS,$L158)))</f>
        <v/>
      </c>
      <c r="L158" s="0" t="str">
        <f aca="false">IF(ROW()-5&gt;NbProduits,"",MATCH(SMALL(CleFDS,ROW()-5),CleFDS,0))</f>
        <v/>
      </c>
    </row>
    <row r="159" customFormat="false" ht="15" hidden="false" customHeight="false" outlineLevel="0" collapsed="false">
      <c r="A159" s="83" t="str">
        <f aca="false">IF($L159="","",INDEX(Inv_Num,$L159))</f>
        <v/>
      </c>
      <c r="B159" s="67" t="str">
        <f aca="false">IF($L159="","",INDEX(Inv_Nom,$L159))</f>
        <v/>
      </c>
      <c r="C159" s="67" t="str">
        <f aca="false">IF($L159="","",T(INDEX(Inv_Fourn,$L159)))</f>
        <v/>
      </c>
      <c r="D159" s="83" t="str">
        <f aca="false">IF($L159="","",INDEX(Inv_StatutFDS,$L159))</f>
        <v/>
      </c>
      <c r="E159" s="85" t="str">
        <f aca="false">IF($L159="","",IF(INDEX(Inv_DateFDS,$L159)=0,"—",INDEX(Inv_DateFDS,$L159)))</f>
        <v/>
      </c>
      <c r="F159" s="85" t="str">
        <f aca="false">IF($L159="","",IF(INDEX(Inv_ProchVerif,$L159)="","—",INDEX(Inv_ProchVerif,$L159)))</f>
        <v/>
      </c>
      <c r="G159" s="87" t="str">
        <f aca="true">IF($L159="","",IF(OR(F159="—",F159=""),"—",F159-TODAY()))</f>
        <v/>
      </c>
      <c r="H159" s="83" t="str">
        <f aca="false">IF($L159="","",IF(AND(OR(D159="EXPIRÉE",D159="À RENOUVELER",D159="FDS ABSENTE"),J159="—"),"OUI","—"))</f>
        <v/>
      </c>
      <c r="I159" s="85" t="str">
        <f aca="false">IF($L159="","",IF(INDEX(Inv_DemFDS,$L159)=0,"—",INDEX(Inv_DemFDS,$L159)))</f>
        <v/>
      </c>
      <c r="J159" s="85" t="str">
        <f aca="false">IF($L159="","",IF(INDEX(Inv_RecFDS,$L159)=0,"—",INDEX(Inv_RecFDS,$L159)))</f>
        <v/>
      </c>
      <c r="L159" s="0" t="str">
        <f aca="false">IF(ROW()-5&gt;NbProduits,"",MATCH(SMALL(CleFDS,ROW()-5),CleFDS,0))</f>
        <v/>
      </c>
    </row>
    <row r="160" customFormat="false" ht="15" hidden="false" customHeight="false" outlineLevel="0" collapsed="false">
      <c r="A160" s="83" t="str">
        <f aca="false">IF($L160="","",INDEX(Inv_Num,$L160))</f>
        <v/>
      </c>
      <c r="B160" s="67" t="str">
        <f aca="false">IF($L160="","",INDEX(Inv_Nom,$L160))</f>
        <v/>
      </c>
      <c r="C160" s="67" t="str">
        <f aca="false">IF($L160="","",T(INDEX(Inv_Fourn,$L160)))</f>
        <v/>
      </c>
      <c r="D160" s="83" t="str">
        <f aca="false">IF($L160="","",INDEX(Inv_StatutFDS,$L160))</f>
        <v/>
      </c>
      <c r="E160" s="85" t="str">
        <f aca="false">IF($L160="","",IF(INDEX(Inv_DateFDS,$L160)=0,"—",INDEX(Inv_DateFDS,$L160)))</f>
        <v/>
      </c>
      <c r="F160" s="85" t="str">
        <f aca="false">IF($L160="","",IF(INDEX(Inv_ProchVerif,$L160)="","—",INDEX(Inv_ProchVerif,$L160)))</f>
        <v/>
      </c>
      <c r="G160" s="87" t="str">
        <f aca="true">IF($L160="","",IF(OR(F160="—",F160=""),"—",F160-TODAY()))</f>
        <v/>
      </c>
      <c r="H160" s="83" t="str">
        <f aca="false">IF($L160="","",IF(AND(OR(D160="EXPIRÉE",D160="À RENOUVELER",D160="FDS ABSENTE"),J160="—"),"OUI","—"))</f>
        <v/>
      </c>
      <c r="I160" s="85" t="str">
        <f aca="false">IF($L160="","",IF(INDEX(Inv_DemFDS,$L160)=0,"—",INDEX(Inv_DemFDS,$L160)))</f>
        <v/>
      </c>
      <c r="J160" s="85" t="str">
        <f aca="false">IF($L160="","",IF(INDEX(Inv_RecFDS,$L160)=0,"—",INDEX(Inv_RecFDS,$L160)))</f>
        <v/>
      </c>
      <c r="L160" s="0" t="str">
        <f aca="false">IF(ROW()-5&gt;NbProduits,"",MATCH(SMALL(CleFDS,ROW()-5),CleFDS,0))</f>
        <v/>
      </c>
    </row>
    <row r="161" customFormat="false" ht="15" hidden="false" customHeight="false" outlineLevel="0" collapsed="false">
      <c r="A161" s="83" t="str">
        <f aca="false">IF($L161="","",INDEX(Inv_Num,$L161))</f>
        <v/>
      </c>
      <c r="B161" s="67" t="str">
        <f aca="false">IF($L161="","",INDEX(Inv_Nom,$L161))</f>
        <v/>
      </c>
      <c r="C161" s="67" t="str">
        <f aca="false">IF($L161="","",T(INDEX(Inv_Fourn,$L161)))</f>
        <v/>
      </c>
      <c r="D161" s="83" t="str">
        <f aca="false">IF($L161="","",INDEX(Inv_StatutFDS,$L161))</f>
        <v/>
      </c>
      <c r="E161" s="85" t="str">
        <f aca="false">IF($L161="","",IF(INDEX(Inv_DateFDS,$L161)=0,"—",INDEX(Inv_DateFDS,$L161)))</f>
        <v/>
      </c>
      <c r="F161" s="85" t="str">
        <f aca="false">IF($L161="","",IF(INDEX(Inv_ProchVerif,$L161)="","—",INDEX(Inv_ProchVerif,$L161)))</f>
        <v/>
      </c>
      <c r="G161" s="87" t="str">
        <f aca="true">IF($L161="","",IF(OR(F161="—",F161=""),"—",F161-TODAY()))</f>
        <v/>
      </c>
      <c r="H161" s="83" t="str">
        <f aca="false">IF($L161="","",IF(AND(OR(D161="EXPIRÉE",D161="À RENOUVELER",D161="FDS ABSENTE"),J161="—"),"OUI","—"))</f>
        <v/>
      </c>
      <c r="I161" s="85" t="str">
        <f aca="false">IF($L161="","",IF(INDEX(Inv_DemFDS,$L161)=0,"—",INDEX(Inv_DemFDS,$L161)))</f>
        <v/>
      </c>
      <c r="J161" s="85" t="str">
        <f aca="false">IF($L161="","",IF(INDEX(Inv_RecFDS,$L161)=0,"—",INDEX(Inv_RecFDS,$L161)))</f>
        <v/>
      </c>
      <c r="L161" s="0" t="str">
        <f aca="false">IF(ROW()-5&gt;NbProduits,"",MATCH(SMALL(CleFDS,ROW()-5),CleFDS,0))</f>
        <v/>
      </c>
    </row>
    <row r="162" customFormat="false" ht="15" hidden="false" customHeight="false" outlineLevel="0" collapsed="false">
      <c r="A162" s="83" t="str">
        <f aca="false">IF($L162="","",INDEX(Inv_Num,$L162))</f>
        <v/>
      </c>
      <c r="B162" s="67" t="str">
        <f aca="false">IF($L162="","",INDEX(Inv_Nom,$L162))</f>
        <v/>
      </c>
      <c r="C162" s="67" t="str">
        <f aca="false">IF($L162="","",T(INDEX(Inv_Fourn,$L162)))</f>
        <v/>
      </c>
      <c r="D162" s="83" t="str">
        <f aca="false">IF($L162="","",INDEX(Inv_StatutFDS,$L162))</f>
        <v/>
      </c>
      <c r="E162" s="85" t="str">
        <f aca="false">IF($L162="","",IF(INDEX(Inv_DateFDS,$L162)=0,"—",INDEX(Inv_DateFDS,$L162)))</f>
        <v/>
      </c>
      <c r="F162" s="85" t="str">
        <f aca="false">IF($L162="","",IF(INDEX(Inv_ProchVerif,$L162)="","—",INDEX(Inv_ProchVerif,$L162)))</f>
        <v/>
      </c>
      <c r="G162" s="87" t="str">
        <f aca="true">IF($L162="","",IF(OR(F162="—",F162=""),"—",F162-TODAY()))</f>
        <v/>
      </c>
      <c r="H162" s="83" t="str">
        <f aca="false">IF($L162="","",IF(AND(OR(D162="EXPIRÉE",D162="À RENOUVELER",D162="FDS ABSENTE"),J162="—"),"OUI","—"))</f>
        <v/>
      </c>
      <c r="I162" s="85" t="str">
        <f aca="false">IF($L162="","",IF(INDEX(Inv_DemFDS,$L162)=0,"—",INDEX(Inv_DemFDS,$L162)))</f>
        <v/>
      </c>
      <c r="J162" s="85" t="str">
        <f aca="false">IF($L162="","",IF(INDEX(Inv_RecFDS,$L162)=0,"—",INDEX(Inv_RecFDS,$L162)))</f>
        <v/>
      </c>
      <c r="L162" s="0" t="str">
        <f aca="false">IF(ROW()-5&gt;NbProduits,"",MATCH(SMALL(CleFDS,ROW()-5),CleFDS,0))</f>
        <v/>
      </c>
    </row>
    <row r="163" customFormat="false" ht="15" hidden="false" customHeight="false" outlineLevel="0" collapsed="false">
      <c r="A163" s="83" t="str">
        <f aca="false">IF($L163="","",INDEX(Inv_Num,$L163))</f>
        <v/>
      </c>
      <c r="B163" s="67" t="str">
        <f aca="false">IF($L163="","",INDEX(Inv_Nom,$L163))</f>
        <v/>
      </c>
      <c r="C163" s="67" t="str">
        <f aca="false">IF($L163="","",T(INDEX(Inv_Fourn,$L163)))</f>
        <v/>
      </c>
      <c r="D163" s="83" t="str">
        <f aca="false">IF($L163="","",INDEX(Inv_StatutFDS,$L163))</f>
        <v/>
      </c>
      <c r="E163" s="85" t="str">
        <f aca="false">IF($L163="","",IF(INDEX(Inv_DateFDS,$L163)=0,"—",INDEX(Inv_DateFDS,$L163)))</f>
        <v/>
      </c>
      <c r="F163" s="85" t="str">
        <f aca="false">IF($L163="","",IF(INDEX(Inv_ProchVerif,$L163)="","—",INDEX(Inv_ProchVerif,$L163)))</f>
        <v/>
      </c>
      <c r="G163" s="87" t="str">
        <f aca="true">IF($L163="","",IF(OR(F163="—",F163=""),"—",F163-TODAY()))</f>
        <v/>
      </c>
      <c r="H163" s="83" t="str">
        <f aca="false">IF($L163="","",IF(AND(OR(D163="EXPIRÉE",D163="À RENOUVELER",D163="FDS ABSENTE"),J163="—"),"OUI","—"))</f>
        <v/>
      </c>
      <c r="I163" s="85" t="str">
        <f aca="false">IF($L163="","",IF(INDEX(Inv_DemFDS,$L163)=0,"—",INDEX(Inv_DemFDS,$L163)))</f>
        <v/>
      </c>
      <c r="J163" s="85" t="str">
        <f aca="false">IF($L163="","",IF(INDEX(Inv_RecFDS,$L163)=0,"—",INDEX(Inv_RecFDS,$L163)))</f>
        <v/>
      </c>
      <c r="L163" s="0" t="str">
        <f aca="false">IF(ROW()-5&gt;NbProduits,"",MATCH(SMALL(CleFDS,ROW()-5),CleFDS,0))</f>
        <v/>
      </c>
    </row>
    <row r="164" customFormat="false" ht="15" hidden="false" customHeight="false" outlineLevel="0" collapsed="false">
      <c r="A164" s="83" t="str">
        <f aca="false">IF($L164="","",INDEX(Inv_Num,$L164))</f>
        <v/>
      </c>
      <c r="B164" s="67" t="str">
        <f aca="false">IF($L164="","",INDEX(Inv_Nom,$L164))</f>
        <v/>
      </c>
      <c r="C164" s="67" t="str">
        <f aca="false">IF($L164="","",T(INDEX(Inv_Fourn,$L164)))</f>
        <v/>
      </c>
      <c r="D164" s="83" t="str">
        <f aca="false">IF($L164="","",INDEX(Inv_StatutFDS,$L164))</f>
        <v/>
      </c>
      <c r="E164" s="85" t="str">
        <f aca="false">IF($L164="","",IF(INDEX(Inv_DateFDS,$L164)=0,"—",INDEX(Inv_DateFDS,$L164)))</f>
        <v/>
      </c>
      <c r="F164" s="85" t="str">
        <f aca="false">IF($L164="","",IF(INDEX(Inv_ProchVerif,$L164)="","—",INDEX(Inv_ProchVerif,$L164)))</f>
        <v/>
      </c>
      <c r="G164" s="87" t="str">
        <f aca="true">IF($L164="","",IF(OR(F164="—",F164=""),"—",F164-TODAY()))</f>
        <v/>
      </c>
      <c r="H164" s="83" t="str">
        <f aca="false">IF($L164="","",IF(AND(OR(D164="EXPIRÉE",D164="À RENOUVELER",D164="FDS ABSENTE"),J164="—"),"OUI","—"))</f>
        <v/>
      </c>
      <c r="I164" s="85" t="str">
        <f aca="false">IF($L164="","",IF(INDEX(Inv_DemFDS,$L164)=0,"—",INDEX(Inv_DemFDS,$L164)))</f>
        <v/>
      </c>
      <c r="J164" s="85" t="str">
        <f aca="false">IF($L164="","",IF(INDEX(Inv_RecFDS,$L164)=0,"—",INDEX(Inv_RecFDS,$L164)))</f>
        <v/>
      </c>
      <c r="L164" s="0" t="str">
        <f aca="false">IF(ROW()-5&gt;NbProduits,"",MATCH(SMALL(CleFDS,ROW()-5),CleFDS,0))</f>
        <v/>
      </c>
    </row>
    <row r="165" customFormat="false" ht="15" hidden="false" customHeight="false" outlineLevel="0" collapsed="false">
      <c r="A165" s="83" t="str">
        <f aca="false">IF($L165="","",INDEX(Inv_Num,$L165))</f>
        <v/>
      </c>
      <c r="B165" s="67" t="str">
        <f aca="false">IF($L165="","",INDEX(Inv_Nom,$L165))</f>
        <v/>
      </c>
      <c r="C165" s="67" t="str">
        <f aca="false">IF($L165="","",T(INDEX(Inv_Fourn,$L165)))</f>
        <v/>
      </c>
      <c r="D165" s="83" t="str">
        <f aca="false">IF($L165="","",INDEX(Inv_StatutFDS,$L165))</f>
        <v/>
      </c>
      <c r="E165" s="85" t="str">
        <f aca="false">IF($L165="","",IF(INDEX(Inv_DateFDS,$L165)=0,"—",INDEX(Inv_DateFDS,$L165)))</f>
        <v/>
      </c>
      <c r="F165" s="85" t="str">
        <f aca="false">IF($L165="","",IF(INDEX(Inv_ProchVerif,$L165)="","—",INDEX(Inv_ProchVerif,$L165)))</f>
        <v/>
      </c>
      <c r="G165" s="87" t="str">
        <f aca="true">IF($L165="","",IF(OR(F165="—",F165=""),"—",F165-TODAY()))</f>
        <v/>
      </c>
      <c r="H165" s="83" t="str">
        <f aca="false">IF($L165="","",IF(AND(OR(D165="EXPIRÉE",D165="À RENOUVELER",D165="FDS ABSENTE"),J165="—"),"OUI","—"))</f>
        <v/>
      </c>
      <c r="I165" s="85" t="str">
        <f aca="false">IF($L165="","",IF(INDEX(Inv_DemFDS,$L165)=0,"—",INDEX(Inv_DemFDS,$L165)))</f>
        <v/>
      </c>
      <c r="J165" s="85" t="str">
        <f aca="false">IF($L165="","",IF(INDEX(Inv_RecFDS,$L165)=0,"—",INDEX(Inv_RecFDS,$L165)))</f>
        <v/>
      </c>
      <c r="L165" s="0" t="str">
        <f aca="false">IF(ROW()-5&gt;NbProduits,"",MATCH(SMALL(CleFDS,ROW()-5),CleFDS,0))</f>
        <v/>
      </c>
    </row>
    <row r="166" customFormat="false" ht="15" hidden="false" customHeight="false" outlineLevel="0" collapsed="false">
      <c r="A166" s="83" t="str">
        <f aca="false">IF($L166="","",INDEX(Inv_Num,$L166))</f>
        <v/>
      </c>
      <c r="B166" s="67" t="str">
        <f aca="false">IF($L166="","",INDEX(Inv_Nom,$L166))</f>
        <v/>
      </c>
      <c r="C166" s="67" t="str">
        <f aca="false">IF($L166="","",T(INDEX(Inv_Fourn,$L166)))</f>
        <v/>
      </c>
      <c r="D166" s="83" t="str">
        <f aca="false">IF($L166="","",INDEX(Inv_StatutFDS,$L166))</f>
        <v/>
      </c>
      <c r="E166" s="85" t="str">
        <f aca="false">IF($L166="","",IF(INDEX(Inv_DateFDS,$L166)=0,"—",INDEX(Inv_DateFDS,$L166)))</f>
        <v/>
      </c>
      <c r="F166" s="85" t="str">
        <f aca="false">IF($L166="","",IF(INDEX(Inv_ProchVerif,$L166)="","—",INDEX(Inv_ProchVerif,$L166)))</f>
        <v/>
      </c>
      <c r="G166" s="87" t="str">
        <f aca="true">IF($L166="","",IF(OR(F166="—",F166=""),"—",F166-TODAY()))</f>
        <v/>
      </c>
      <c r="H166" s="83" t="str">
        <f aca="false">IF($L166="","",IF(AND(OR(D166="EXPIRÉE",D166="À RENOUVELER",D166="FDS ABSENTE"),J166="—"),"OUI","—"))</f>
        <v/>
      </c>
      <c r="I166" s="85" t="str">
        <f aca="false">IF($L166="","",IF(INDEX(Inv_DemFDS,$L166)=0,"—",INDEX(Inv_DemFDS,$L166)))</f>
        <v/>
      </c>
      <c r="J166" s="85" t="str">
        <f aca="false">IF($L166="","",IF(INDEX(Inv_RecFDS,$L166)=0,"—",INDEX(Inv_RecFDS,$L166)))</f>
        <v/>
      </c>
      <c r="L166" s="0" t="str">
        <f aca="false">IF(ROW()-5&gt;NbProduits,"",MATCH(SMALL(CleFDS,ROW()-5),CleFDS,0))</f>
        <v/>
      </c>
    </row>
    <row r="167" customFormat="false" ht="15" hidden="false" customHeight="false" outlineLevel="0" collapsed="false">
      <c r="A167" s="83" t="str">
        <f aca="false">IF($L167="","",INDEX(Inv_Num,$L167))</f>
        <v/>
      </c>
      <c r="B167" s="67" t="str">
        <f aca="false">IF($L167="","",INDEX(Inv_Nom,$L167))</f>
        <v/>
      </c>
      <c r="C167" s="67" t="str">
        <f aca="false">IF($L167="","",T(INDEX(Inv_Fourn,$L167)))</f>
        <v/>
      </c>
      <c r="D167" s="83" t="str">
        <f aca="false">IF($L167="","",INDEX(Inv_StatutFDS,$L167))</f>
        <v/>
      </c>
      <c r="E167" s="85" t="str">
        <f aca="false">IF($L167="","",IF(INDEX(Inv_DateFDS,$L167)=0,"—",INDEX(Inv_DateFDS,$L167)))</f>
        <v/>
      </c>
      <c r="F167" s="85" t="str">
        <f aca="false">IF($L167="","",IF(INDEX(Inv_ProchVerif,$L167)="","—",INDEX(Inv_ProchVerif,$L167)))</f>
        <v/>
      </c>
      <c r="G167" s="87" t="str">
        <f aca="true">IF($L167="","",IF(OR(F167="—",F167=""),"—",F167-TODAY()))</f>
        <v/>
      </c>
      <c r="H167" s="83" t="str">
        <f aca="false">IF($L167="","",IF(AND(OR(D167="EXPIRÉE",D167="À RENOUVELER",D167="FDS ABSENTE"),J167="—"),"OUI","—"))</f>
        <v/>
      </c>
      <c r="I167" s="85" t="str">
        <f aca="false">IF($L167="","",IF(INDEX(Inv_DemFDS,$L167)=0,"—",INDEX(Inv_DemFDS,$L167)))</f>
        <v/>
      </c>
      <c r="J167" s="85" t="str">
        <f aca="false">IF($L167="","",IF(INDEX(Inv_RecFDS,$L167)=0,"—",INDEX(Inv_RecFDS,$L167)))</f>
        <v/>
      </c>
      <c r="L167" s="0" t="str">
        <f aca="false">IF(ROW()-5&gt;NbProduits,"",MATCH(SMALL(CleFDS,ROW()-5),CleFDS,0))</f>
        <v/>
      </c>
    </row>
    <row r="168" customFormat="false" ht="15" hidden="false" customHeight="false" outlineLevel="0" collapsed="false">
      <c r="A168" s="83" t="str">
        <f aca="false">IF($L168="","",INDEX(Inv_Num,$L168))</f>
        <v/>
      </c>
      <c r="B168" s="67" t="str">
        <f aca="false">IF($L168="","",INDEX(Inv_Nom,$L168))</f>
        <v/>
      </c>
      <c r="C168" s="67" t="str">
        <f aca="false">IF($L168="","",T(INDEX(Inv_Fourn,$L168)))</f>
        <v/>
      </c>
      <c r="D168" s="83" t="str">
        <f aca="false">IF($L168="","",INDEX(Inv_StatutFDS,$L168))</f>
        <v/>
      </c>
      <c r="E168" s="85" t="str">
        <f aca="false">IF($L168="","",IF(INDEX(Inv_DateFDS,$L168)=0,"—",INDEX(Inv_DateFDS,$L168)))</f>
        <v/>
      </c>
      <c r="F168" s="85" t="str">
        <f aca="false">IF($L168="","",IF(INDEX(Inv_ProchVerif,$L168)="","—",INDEX(Inv_ProchVerif,$L168)))</f>
        <v/>
      </c>
      <c r="G168" s="87" t="str">
        <f aca="true">IF($L168="","",IF(OR(F168="—",F168=""),"—",F168-TODAY()))</f>
        <v/>
      </c>
      <c r="H168" s="83" t="str">
        <f aca="false">IF($L168="","",IF(AND(OR(D168="EXPIRÉE",D168="À RENOUVELER",D168="FDS ABSENTE"),J168="—"),"OUI","—"))</f>
        <v/>
      </c>
      <c r="I168" s="85" t="str">
        <f aca="false">IF($L168="","",IF(INDEX(Inv_DemFDS,$L168)=0,"—",INDEX(Inv_DemFDS,$L168)))</f>
        <v/>
      </c>
      <c r="J168" s="85" t="str">
        <f aca="false">IF($L168="","",IF(INDEX(Inv_RecFDS,$L168)=0,"—",INDEX(Inv_RecFDS,$L168)))</f>
        <v/>
      </c>
      <c r="L168" s="0" t="str">
        <f aca="false">IF(ROW()-5&gt;NbProduits,"",MATCH(SMALL(CleFDS,ROW()-5),CleFDS,0))</f>
        <v/>
      </c>
    </row>
    <row r="169" customFormat="false" ht="15" hidden="false" customHeight="false" outlineLevel="0" collapsed="false">
      <c r="A169" s="83" t="str">
        <f aca="false">IF($L169="","",INDEX(Inv_Num,$L169))</f>
        <v/>
      </c>
      <c r="B169" s="67" t="str">
        <f aca="false">IF($L169="","",INDEX(Inv_Nom,$L169))</f>
        <v/>
      </c>
      <c r="C169" s="67" t="str">
        <f aca="false">IF($L169="","",T(INDEX(Inv_Fourn,$L169)))</f>
        <v/>
      </c>
      <c r="D169" s="83" t="str">
        <f aca="false">IF($L169="","",INDEX(Inv_StatutFDS,$L169))</f>
        <v/>
      </c>
      <c r="E169" s="85" t="str">
        <f aca="false">IF($L169="","",IF(INDEX(Inv_DateFDS,$L169)=0,"—",INDEX(Inv_DateFDS,$L169)))</f>
        <v/>
      </c>
      <c r="F169" s="85" t="str">
        <f aca="false">IF($L169="","",IF(INDEX(Inv_ProchVerif,$L169)="","—",INDEX(Inv_ProchVerif,$L169)))</f>
        <v/>
      </c>
      <c r="G169" s="87" t="str">
        <f aca="true">IF($L169="","",IF(OR(F169="—",F169=""),"—",F169-TODAY()))</f>
        <v/>
      </c>
      <c r="H169" s="83" t="str">
        <f aca="false">IF($L169="","",IF(AND(OR(D169="EXPIRÉE",D169="À RENOUVELER",D169="FDS ABSENTE"),J169="—"),"OUI","—"))</f>
        <v/>
      </c>
      <c r="I169" s="85" t="str">
        <f aca="false">IF($L169="","",IF(INDEX(Inv_DemFDS,$L169)=0,"—",INDEX(Inv_DemFDS,$L169)))</f>
        <v/>
      </c>
      <c r="J169" s="85" t="str">
        <f aca="false">IF($L169="","",IF(INDEX(Inv_RecFDS,$L169)=0,"—",INDEX(Inv_RecFDS,$L169)))</f>
        <v/>
      </c>
      <c r="L169" s="0" t="str">
        <f aca="false">IF(ROW()-5&gt;NbProduits,"",MATCH(SMALL(CleFDS,ROW()-5),CleFDS,0))</f>
        <v/>
      </c>
    </row>
    <row r="170" customFormat="false" ht="15" hidden="false" customHeight="false" outlineLevel="0" collapsed="false">
      <c r="A170" s="83" t="str">
        <f aca="false">IF($L170="","",INDEX(Inv_Num,$L170))</f>
        <v/>
      </c>
      <c r="B170" s="67" t="str">
        <f aca="false">IF($L170="","",INDEX(Inv_Nom,$L170))</f>
        <v/>
      </c>
      <c r="C170" s="67" t="str">
        <f aca="false">IF($L170="","",T(INDEX(Inv_Fourn,$L170)))</f>
        <v/>
      </c>
      <c r="D170" s="83" t="str">
        <f aca="false">IF($L170="","",INDEX(Inv_StatutFDS,$L170))</f>
        <v/>
      </c>
      <c r="E170" s="85" t="str">
        <f aca="false">IF($L170="","",IF(INDEX(Inv_DateFDS,$L170)=0,"—",INDEX(Inv_DateFDS,$L170)))</f>
        <v/>
      </c>
      <c r="F170" s="85" t="str">
        <f aca="false">IF($L170="","",IF(INDEX(Inv_ProchVerif,$L170)="","—",INDEX(Inv_ProchVerif,$L170)))</f>
        <v/>
      </c>
      <c r="G170" s="87" t="str">
        <f aca="true">IF($L170="","",IF(OR(F170="—",F170=""),"—",F170-TODAY()))</f>
        <v/>
      </c>
      <c r="H170" s="83" t="str">
        <f aca="false">IF($L170="","",IF(AND(OR(D170="EXPIRÉE",D170="À RENOUVELER",D170="FDS ABSENTE"),J170="—"),"OUI","—"))</f>
        <v/>
      </c>
      <c r="I170" s="85" t="str">
        <f aca="false">IF($L170="","",IF(INDEX(Inv_DemFDS,$L170)=0,"—",INDEX(Inv_DemFDS,$L170)))</f>
        <v/>
      </c>
      <c r="J170" s="85" t="str">
        <f aca="false">IF($L170="","",IF(INDEX(Inv_RecFDS,$L170)=0,"—",INDEX(Inv_RecFDS,$L170)))</f>
        <v/>
      </c>
      <c r="L170" s="0" t="str">
        <f aca="false">IF(ROW()-5&gt;NbProduits,"",MATCH(SMALL(CleFDS,ROW()-5),CleFDS,0))</f>
        <v/>
      </c>
    </row>
    <row r="171" customFormat="false" ht="15" hidden="false" customHeight="false" outlineLevel="0" collapsed="false">
      <c r="A171" s="83" t="str">
        <f aca="false">IF($L171="","",INDEX(Inv_Num,$L171))</f>
        <v/>
      </c>
      <c r="B171" s="67" t="str">
        <f aca="false">IF($L171="","",INDEX(Inv_Nom,$L171))</f>
        <v/>
      </c>
      <c r="C171" s="67" t="str">
        <f aca="false">IF($L171="","",T(INDEX(Inv_Fourn,$L171)))</f>
        <v/>
      </c>
      <c r="D171" s="83" t="str">
        <f aca="false">IF($L171="","",INDEX(Inv_StatutFDS,$L171))</f>
        <v/>
      </c>
      <c r="E171" s="85" t="str">
        <f aca="false">IF($L171="","",IF(INDEX(Inv_DateFDS,$L171)=0,"—",INDEX(Inv_DateFDS,$L171)))</f>
        <v/>
      </c>
      <c r="F171" s="85" t="str">
        <f aca="false">IF($L171="","",IF(INDEX(Inv_ProchVerif,$L171)="","—",INDEX(Inv_ProchVerif,$L171)))</f>
        <v/>
      </c>
      <c r="G171" s="87" t="str">
        <f aca="true">IF($L171="","",IF(OR(F171="—",F171=""),"—",F171-TODAY()))</f>
        <v/>
      </c>
      <c r="H171" s="83" t="str">
        <f aca="false">IF($L171="","",IF(AND(OR(D171="EXPIRÉE",D171="À RENOUVELER",D171="FDS ABSENTE"),J171="—"),"OUI","—"))</f>
        <v/>
      </c>
      <c r="I171" s="85" t="str">
        <f aca="false">IF($L171="","",IF(INDEX(Inv_DemFDS,$L171)=0,"—",INDEX(Inv_DemFDS,$L171)))</f>
        <v/>
      </c>
      <c r="J171" s="85" t="str">
        <f aca="false">IF($L171="","",IF(INDEX(Inv_RecFDS,$L171)=0,"—",INDEX(Inv_RecFDS,$L171)))</f>
        <v/>
      </c>
      <c r="L171" s="0" t="str">
        <f aca="false">IF(ROW()-5&gt;NbProduits,"",MATCH(SMALL(CleFDS,ROW()-5),CleFDS,0))</f>
        <v/>
      </c>
    </row>
    <row r="172" customFormat="false" ht="15" hidden="false" customHeight="false" outlineLevel="0" collapsed="false">
      <c r="A172" s="83" t="str">
        <f aca="false">IF($L172="","",INDEX(Inv_Num,$L172))</f>
        <v/>
      </c>
      <c r="B172" s="67" t="str">
        <f aca="false">IF($L172="","",INDEX(Inv_Nom,$L172))</f>
        <v/>
      </c>
      <c r="C172" s="67" t="str">
        <f aca="false">IF($L172="","",T(INDEX(Inv_Fourn,$L172)))</f>
        <v/>
      </c>
      <c r="D172" s="83" t="str">
        <f aca="false">IF($L172="","",INDEX(Inv_StatutFDS,$L172))</f>
        <v/>
      </c>
      <c r="E172" s="85" t="str">
        <f aca="false">IF($L172="","",IF(INDEX(Inv_DateFDS,$L172)=0,"—",INDEX(Inv_DateFDS,$L172)))</f>
        <v/>
      </c>
      <c r="F172" s="85" t="str">
        <f aca="false">IF($L172="","",IF(INDEX(Inv_ProchVerif,$L172)="","—",INDEX(Inv_ProchVerif,$L172)))</f>
        <v/>
      </c>
      <c r="G172" s="87" t="str">
        <f aca="true">IF($L172="","",IF(OR(F172="—",F172=""),"—",F172-TODAY()))</f>
        <v/>
      </c>
      <c r="H172" s="83" t="str">
        <f aca="false">IF($L172="","",IF(AND(OR(D172="EXPIRÉE",D172="À RENOUVELER",D172="FDS ABSENTE"),J172="—"),"OUI","—"))</f>
        <v/>
      </c>
      <c r="I172" s="85" t="str">
        <f aca="false">IF($L172="","",IF(INDEX(Inv_DemFDS,$L172)=0,"—",INDEX(Inv_DemFDS,$L172)))</f>
        <v/>
      </c>
      <c r="J172" s="85" t="str">
        <f aca="false">IF($L172="","",IF(INDEX(Inv_RecFDS,$L172)=0,"—",INDEX(Inv_RecFDS,$L172)))</f>
        <v/>
      </c>
      <c r="L172" s="0" t="str">
        <f aca="false">IF(ROW()-5&gt;NbProduits,"",MATCH(SMALL(CleFDS,ROW()-5),CleFDS,0))</f>
        <v/>
      </c>
    </row>
    <row r="173" customFormat="false" ht="15" hidden="false" customHeight="false" outlineLevel="0" collapsed="false">
      <c r="A173" s="83" t="str">
        <f aca="false">IF($L173="","",INDEX(Inv_Num,$L173))</f>
        <v/>
      </c>
      <c r="B173" s="67" t="str">
        <f aca="false">IF($L173="","",INDEX(Inv_Nom,$L173))</f>
        <v/>
      </c>
      <c r="C173" s="67" t="str">
        <f aca="false">IF($L173="","",T(INDEX(Inv_Fourn,$L173)))</f>
        <v/>
      </c>
      <c r="D173" s="83" t="str">
        <f aca="false">IF($L173="","",INDEX(Inv_StatutFDS,$L173))</f>
        <v/>
      </c>
      <c r="E173" s="85" t="str">
        <f aca="false">IF($L173="","",IF(INDEX(Inv_DateFDS,$L173)=0,"—",INDEX(Inv_DateFDS,$L173)))</f>
        <v/>
      </c>
      <c r="F173" s="85" t="str">
        <f aca="false">IF($L173="","",IF(INDEX(Inv_ProchVerif,$L173)="","—",INDEX(Inv_ProchVerif,$L173)))</f>
        <v/>
      </c>
      <c r="G173" s="87" t="str">
        <f aca="true">IF($L173="","",IF(OR(F173="—",F173=""),"—",F173-TODAY()))</f>
        <v/>
      </c>
      <c r="H173" s="83" t="str">
        <f aca="false">IF($L173="","",IF(AND(OR(D173="EXPIRÉE",D173="À RENOUVELER",D173="FDS ABSENTE"),J173="—"),"OUI","—"))</f>
        <v/>
      </c>
      <c r="I173" s="85" t="str">
        <f aca="false">IF($L173="","",IF(INDEX(Inv_DemFDS,$L173)=0,"—",INDEX(Inv_DemFDS,$L173)))</f>
        <v/>
      </c>
      <c r="J173" s="85" t="str">
        <f aca="false">IF($L173="","",IF(INDEX(Inv_RecFDS,$L173)=0,"—",INDEX(Inv_RecFDS,$L173)))</f>
        <v/>
      </c>
      <c r="L173" s="0" t="str">
        <f aca="false">IF(ROW()-5&gt;NbProduits,"",MATCH(SMALL(CleFDS,ROW()-5),CleFDS,0))</f>
        <v/>
      </c>
    </row>
    <row r="174" customFormat="false" ht="15" hidden="false" customHeight="false" outlineLevel="0" collapsed="false">
      <c r="A174" s="83" t="str">
        <f aca="false">IF($L174="","",INDEX(Inv_Num,$L174))</f>
        <v/>
      </c>
      <c r="B174" s="67" t="str">
        <f aca="false">IF($L174="","",INDEX(Inv_Nom,$L174))</f>
        <v/>
      </c>
      <c r="C174" s="67" t="str">
        <f aca="false">IF($L174="","",T(INDEX(Inv_Fourn,$L174)))</f>
        <v/>
      </c>
      <c r="D174" s="83" t="str">
        <f aca="false">IF($L174="","",INDEX(Inv_StatutFDS,$L174))</f>
        <v/>
      </c>
      <c r="E174" s="85" t="str">
        <f aca="false">IF($L174="","",IF(INDEX(Inv_DateFDS,$L174)=0,"—",INDEX(Inv_DateFDS,$L174)))</f>
        <v/>
      </c>
      <c r="F174" s="85" t="str">
        <f aca="false">IF($L174="","",IF(INDEX(Inv_ProchVerif,$L174)="","—",INDEX(Inv_ProchVerif,$L174)))</f>
        <v/>
      </c>
      <c r="G174" s="87" t="str">
        <f aca="true">IF($L174="","",IF(OR(F174="—",F174=""),"—",F174-TODAY()))</f>
        <v/>
      </c>
      <c r="H174" s="83" t="str">
        <f aca="false">IF($L174="","",IF(AND(OR(D174="EXPIRÉE",D174="À RENOUVELER",D174="FDS ABSENTE"),J174="—"),"OUI","—"))</f>
        <v/>
      </c>
      <c r="I174" s="85" t="str">
        <f aca="false">IF($L174="","",IF(INDEX(Inv_DemFDS,$L174)=0,"—",INDEX(Inv_DemFDS,$L174)))</f>
        <v/>
      </c>
      <c r="J174" s="85" t="str">
        <f aca="false">IF($L174="","",IF(INDEX(Inv_RecFDS,$L174)=0,"—",INDEX(Inv_RecFDS,$L174)))</f>
        <v/>
      </c>
      <c r="L174" s="0" t="str">
        <f aca="false">IF(ROW()-5&gt;NbProduits,"",MATCH(SMALL(CleFDS,ROW()-5),CleFDS,0))</f>
        <v/>
      </c>
    </row>
    <row r="175" customFormat="false" ht="15" hidden="false" customHeight="false" outlineLevel="0" collapsed="false">
      <c r="A175" s="83" t="str">
        <f aca="false">IF($L175="","",INDEX(Inv_Num,$L175))</f>
        <v/>
      </c>
      <c r="B175" s="67" t="str">
        <f aca="false">IF($L175="","",INDEX(Inv_Nom,$L175))</f>
        <v/>
      </c>
      <c r="C175" s="67" t="str">
        <f aca="false">IF($L175="","",T(INDEX(Inv_Fourn,$L175)))</f>
        <v/>
      </c>
      <c r="D175" s="83" t="str">
        <f aca="false">IF($L175="","",INDEX(Inv_StatutFDS,$L175))</f>
        <v/>
      </c>
      <c r="E175" s="85" t="str">
        <f aca="false">IF($L175="","",IF(INDEX(Inv_DateFDS,$L175)=0,"—",INDEX(Inv_DateFDS,$L175)))</f>
        <v/>
      </c>
      <c r="F175" s="85" t="str">
        <f aca="false">IF($L175="","",IF(INDEX(Inv_ProchVerif,$L175)="","—",INDEX(Inv_ProchVerif,$L175)))</f>
        <v/>
      </c>
      <c r="G175" s="87" t="str">
        <f aca="true">IF($L175="","",IF(OR(F175="—",F175=""),"—",F175-TODAY()))</f>
        <v/>
      </c>
      <c r="H175" s="83" t="str">
        <f aca="false">IF($L175="","",IF(AND(OR(D175="EXPIRÉE",D175="À RENOUVELER",D175="FDS ABSENTE"),J175="—"),"OUI","—"))</f>
        <v/>
      </c>
      <c r="I175" s="85" t="str">
        <f aca="false">IF($L175="","",IF(INDEX(Inv_DemFDS,$L175)=0,"—",INDEX(Inv_DemFDS,$L175)))</f>
        <v/>
      </c>
      <c r="J175" s="85" t="str">
        <f aca="false">IF($L175="","",IF(INDEX(Inv_RecFDS,$L175)=0,"—",INDEX(Inv_RecFDS,$L175)))</f>
        <v/>
      </c>
      <c r="L175" s="0" t="str">
        <f aca="false">IF(ROW()-5&gt;NbProduits,"",MATCH(SMALL(CleFDS,ROW()-5),CleFDS,0))</f>
        <v/>
      </c>
    </row>
    <row r="176" customFormat="false" ht="15" hidden="false" customHeight="false" outlineLevel="0" collapsed="false">
      <c r="A176" s="83" t="str">
        <f aca="false">IF($L176="","",INDEX(Inv_Num,$L176))</f>
        <v/>
      </c>
      <c r="B176" s="67" t="str">
        <f aca="false">IF($L176="","",INDEX(Inv_Nom,$L176))</f>
        <v/>
      </c>
      <c r="C176" s="67" t="str">
        <f aca="false">IF($L176="","",T(INDEX(Inv_Fourn,$L176)))</f>
        <v/>
      </c>
      <c r="D176" s="83" t="str">
        <f aca="false">IF($L176="","",INDEX(Inv_StatutFDS,$L176))</f>
        <v/>
      </c>
      <c r="E176" s="85" t="str">
        <f aca="false">IF($L176="","",IF(INDEX(Inv_DateFDS,$L176)=0,"—",INDEX(Inv_DateFDS,$L176)))</f>
        <v/>
      </c>
      <c r="F176" s="85" t="str">
        <f aca="false">IF($L176="","",IF(INDEX(Inv_ProchVerif,$L176)="","—",INDEX(Inv_ProchVerif,$L176)))</f>
        <v/>
      </c>
      <c r="G176" s="87" t="str">
        <f aca="true">IF($L176="","",IF(OR(F176="—",F176=""),"—",F176-TODAY()))</f>
        <v/>
      </c>
      <c r="H176" s="83" t="str">
        <f aca="false">IF($L176="","",IF(AND(OR(D176="EXPIRÉE",D176="À RENOUVELER",D176="FDS ABSENTE"),J176="—"),"OUI","—"))</f>
        <v/>
      </c>
      <c r="I176" s="85" t="str">
        <f aca="false">IF($L176="","",IF(INDEX(Inv_DemFDS,$L176)=0,"—",INDEX(Inv_DemFDS,$L176)))</f>
        <v/>
      </c>
      <c r="J176" s="85" t="str">
        <f aca="false">IF($L176="","",IF(INDEX(Inv_RecFDS,$L176)=0,"—",INDEX(Inv_RecFDS,$L176)))</f>
        <v/>
      </c>
      <c r="L176" s="0" t="str">
        <f aca="false">IF(ROW()-5&gt;NbProduits,"",MATCH(SMALL(CleFDS,ROW()-5),CleFDS,0))</f>
        <v/>
      </c>
    </row>
    <row r="177" customFormat="false" ht="15" hidden="false" customHeight="false" outlineLevel="0" collapsed="false">
      <c r="A177" s="83" t="str">
        <f aca="false">IF($L177="","",INDEX(Inv_Num,$L177))</f>
        <v/>
      </c>
      <c r="B177" s="67" t="str">
        <f aca="false">IF($L177="","",INDEX(Inv_Nom,$L177))</f>
        <v/>
      </c>
      <c r="C177" s="67" t="str">
        <f aca="false">IF($L177="","",T(INDEX(Inv_Fourn,$L177)))</f>
        <v/>
      </c>
      <c r="D177" s="83" t="str">
        <f aca="false">IF($L177="","",INDEX(Inv_StatutFDS,$L177))</f>
        <v/>
      </c>
      <c r="E177" s="85" t="str">
        <f aca="false">IF($L177="","",IF(INDEX(Inv_DateFDS,$L177)=0,"—",INDEX(Inv_DateFDS,$L177)))</f>
        <v/>
      </c>
      <c r="F177" s="85" t="str">
        <f aca="false">IF($L177="","",IF(INDEX(Inv_ProchVerif,$L177)="","—",INDEX(Inv_ProchVerif,$L177)))</f>
        <v/>
      </c>
      <c r="G177" s="87" t="str">
        <f aca="true">IF($L177="","",IF(OR(F177="—",F177=""),"—",F177-TODAY()))</f>
        <v/>
      </c>
      <c r="H177" s="83" t="str">
        <f aca="false">IF($L177="","",IF(AND(OR(D177="EXPIRÉE",D177="À RENOUVELER",D177="FDS ABSENTE"),J177="—"),"OUI","—"))</f>
        <v/>
      </c>
      <c r="I177" s="85" t="str">
        <f aca="false">IF($L177="","",IF(INDEX(Inv_DemFDS,$L177)=0,"—",INDEX(Inv_DemFDS,$L177)))</f>
        <v/>
      </c>
      <c r="J177" s="85" t="str">
        <f aca="false">IF($L177="","",IF(INDEX(Inv_RecFDS,$L177)=0,"—",INDEX(Inv_RecFDS,$L177)))</f>
        <v/>
      </c>
      <c r="L177" s="0" t="str">
        <f aca="false">IF(ROW()-5&gt;NbProduits,"",MATCH(SMALL(CleFDS,ROW()-5),CleFDS,0))</f>
        <v/>
      </c>
    </row>
    <row r="178" customFormat="false" ht="15" hidden="false" customHeight="false" outlineLevel="0" collapsed="false">
      <c r="A178" s="83" t="str">
        <f aca="false">IF($L178="","",INDEX(Inv_Num,$L178))</f>
        <v/>
      </c>
      <c r="B178" s="67" t="str">
        <f aca="false">IF($L178="","",INDEX(Inv_Nom,$L178))</f>
        <v/>
      </c>
      <c r="C178" s="67" t="str">
        <f aca="false">IF($L178="","",T(INDEX(Inv_Fourn,$L178)))</f>
        <v/>
      </c>
      <c r="D178" s="83" t="str">
        <f aca="false">IF($L178="","",INDEX(Inv_StatutFDS,$L178))</f>
        <v/>
      </c>
      <c r="E178" s="85" t="str">
        <f aca="false">IF($L178="","",IF(INDEX(Inv_DateFDS,$L178)=0,"—",INDEX(Inv_DateFDS,$L178)))</f>
        <v/>
      </c>
      <c r="F178" s="85" t="str">
        <f aca="false">IF($L178="","",IF(INDEX(Inv_ProchVerif,$L178)="","—",INDEX(Inv_ProchVerif,$L178)))</f>
        <v/>
      </c>
      <c r="G178" s="87" t="str">
        <f aca="true">IF($L178="","",IF(OR(F178="—",F178=""),"—",F178-TODAY()))</f>
        <v/>
      </c>
      <c r="H178" s="83" t="str">
        <f aca="false">IF($L178="","",IF(AND(OR(D178="EXPIRÉE",D178="À RENOUVELER",D178="FDS ABSENTE"),J178="—"),"OUI","—"))</f>
        <v/>
      </c>
      <c r="I178" s="85" t="str">
        <f aca="false">IF($L178="","",IF(INDEX(Inv_DemFDS,$L178)=0,"—",INDEX(Inv_DemFDS,$L178)))</f>
        <v/>
      </c>
      <c r="J178" s="85" t="str">
        <f aca="false">IF($L178="","",IF(INDEX(Inv_RecFDS,$L178)=0,"—",INDEX(Inv_RecFDS,$L178)))</f>
        <v/>
      </c>
      <c r="L178" s="0" t="str">
        <f aca="false">IF(ROW()-5&gt;NbProduits,"",MATCH(SMALL(CleFDS,ROW()-5),CleFDS,0))</f>
        <v/>
      </c>
    </row>
    <row r="179" customFormat="false" ht="15" hidden="false" customHeight="false" outlineLevel="0" collapsed="false">
      <c r="A179" s="83" t="str">
        <f aca="false">IF($L179="","",INDEX(Inv_Num,$L179))</f>
        <v/>
      </c>
      <c r="B179" s="67" t="str">
        <f aca="false">IF($L179="","",INDEX(Inv_Nom,$L179))</f>
        <v/>
      </c>
      <c r="C179" s="67" t="str">
        <f aca="false">IF($L179="","",T(INDEX(Inv_Fourn,$L179)))</f>
        <v/>
      </c>
      <c r="D179" s="83" t="str">
        <f aca="false">IF($L179="","",INDEX(Inv_StatutFDS,$L179))</f>
        <v/>
      </c>
      <c r="E179" s="85" t="str">
        <f aca="false">IF($L179="","",IF(INDEX(Inv_DateFDS,$L179)=0,"—",INDEX(Inv_DateFDS,$L179)))</f>
        <v/>
      </c>
      <c r="F179" s="85" t="str">
        <f aca="false">IF($L179="","",IF(INDEX(Inv_ProchVerif,$L179)="","—",INDEX(Inv_ProchVerif,$L179)))</f>
        <v/>
      </c>
      <c r="G179" s="87" t="str">
        <f aca="true">IF($L179="","",IF(OR(F179="—",F179=""),"—",F179-TODAY()))</f>
        <v/>
      </c>
      <c r="H179" s="83" t="str">
        <f aca="false">IF($L179="","",IF(AND(OR(D179="EXPIRÉE",D179="À RENOUVELER",D179="FDS ABSENTE"),J179="—"),"OUI","—"))</f>
        <v/>
      </c>
      <c r="I179" s="85" t="str">
        <f aca="false">IF($L179="","",IF(INDEX(Inv_DemFDS,$L179)=0,"—",INDEX(Inv_DemFDS,$L179)))</f>
        <v/>
      </c>
      <c r="J179" s="85" t="str">
        <f aca="false">IF($L179="","",IF(INDEX(Inv_RecFDS,$L179)=0,"—",INDEX(Inv_RecFDS,$L179)))</f>
        <v/>
      </c>
      <c r="L179" s="0" t="str">
        <f aca="false">IF(ROW()-5&gt;NbProduits,"",MATCH(SMALL(CleFDS,ROW()-5),CleFDS,0))</f>
        <v/>
      </c>
    </row>
    <row r="180" customFormat="false" ht="15" hidden="false" customHeight="false" outlineLevel="0" collapsed="false">
      <c r="A180" s="83" t="str">
        <f aca="false">IF($L180="","",INDEX(Inv_Num,$L180))</f>
        <v/>
      </c>
      <c r="B180" s="67" t="str">
        <f aca="false">IF($L180="","",INDEX(Inv_Nom,$L180))</f>
        <v/>
      </c>
      <c r="C180" s="67" t="str">
        <f aca="false">IF($L180="","",T(INDEX(Inv_Fourn,$L180)))</f>
        <v/>
      </c>
      <c r="D180" s="83" t="str">
        <f aca="false">IF($L180="","",INDEX(Inv_StatutFDS,$L180))</f>
        <v/>
      </c>
      <c r="E180" s="85" t="str">
        <f aca="false">IF($L180="","",IF(INDEX(Inv_DateFDS,$L180)=0,"—",INDEX(Inv_DateFDS,$L180)))</f>
        <v/>
      </c>
      <c r="F180" s="85" t="str">
        <f aca="false">IF($L180="","",IF(INDEX(Inv_ProchVerif,$L180)="","—",INDEX(Inv_ProchVerif,$L180)))</f>
        <v/>
      </c>
      <c r="G180" s="87" t="str">
        <f aca="true">IF($L180="","",IF(OR(F180="—",F180=""),"—",F180-TODAY()))</f>
        <v/>
      </c>
      <c r="H180" s="83" t="str">
        <f aca="false">IF($L180="","",IF(AND(OR(D180="EXPIRÉE",D180="À RENOUVELER",D180="FDS ABSENTE"),J180="—"),"OUI","—"))</f>
        <v/>
      </c>
      <c r="I180" s="85" t="str">
        <f aca="false">IF($L180="","",IF(INDEX(Inv_DemFDS,$L180)=0,"—",INDEX(Inv_DemFDS,$L180)))</f>
        <v/>
      </c>
      <c r="J180" s="85" t="str">
        <f aca="false">IF($L180="","",IF(INDEX(Inv_RecFDS,$L180)=0,"—",INDEX(Inv_RecFDS,$L180)))</f>
        <v/>
      </c>
      <c r="L180" s="0" t="str">
        <f aca="false">IF(ROW()-5&gt;NbProduits,"",MATCH(SMALL(CleFDS,ROW()-5),CleFDS,0))</f>
        <v/>
      </c>
    </row>
    <row r="181" customFormat="false" ht="15" hidden="false" customHeight="false" outlineLevel="0" collapsed="false">
      <c r="A181" s="83" t="str">
        <f aca="false">IF($L181="","",INDEX(Inv_Num,$L181))</f>
        <v/>
      </c>
      <c r="B181" s="67" t="str">
        <f aca="false">IF($L181="","",INDEX(Inv_Nom,$L181))</f>
        <v/>
      </c>
      <c r="C181" s="67" t="str">
        <f aca="false">IF($L181="","",T(INDEX(Inv_Fourn,$L181)))</f>
        <v/>
      </c>
      <c r="D181" s="83" t="str">
        <f aca="false">IF($L181="","",INDEX(Inv_StatutFDS,$L181))</f>
        <v/>
      </c>
      <c r="E181" s="85" t="str">
        <f aca="false">IF($L181="","",IF(INDEX(Inv_DateFDS,$L181)=0,"—",INDEX(Inv_DateFDS,$L181)))</f>
        <v/>
      </c>
      <c r="F181" s="85" t="str">
        <f aca="false">IF($L181="","",IF(INDEX(Inv_ProchVerif,$L181)="","—",INDEX(Inv_ProchVerif,$L181)))</f>
        <v/>
      </c>
      <c r="G181" s="87" t="str">
        <f aca="true">IF($L181="","",IF(OR(F181="—",F181=""),"—",F181-TODAY()))</f>
        <v/>
      </c>
      <c r="H181" s="83" t="str">
        <f aca="false">IF($L181="","",IF(AND(OR(D181="EXPIRÉE",D181="À RENOUVELER",D181="FDS ABSENTE"),J181="—"),"OUI","—"))</f>
        <v/>
      </c>
      <c r="I181" s="85" t="str">
        <f aca="false">IF($L181="","",IF(INDEX(Inv_DemFDS,$L181)=0,"—",INDEX(Inv_DemFDS,$L181)))</f>
        <v/>
      </c>
      <c r="J181" s="85" t="str">
        <f aca="false">IF($L181="","",IF(INDEX(Inv_RecFDS,$L181)=0,"—",INDEX(Inv_RecFDS,$L181)))</f>
        <v/>
      </c>
      <c r="L181" s="0" t="str">
        <f aca="false">IF(ROW()-5&gt;NbProduits,"",MATCH(SMALL(CleFDS,ROW()-5),CleFDS,0))</f>
        <v/>
      </c>
    </row>
    <row r="182" customFormat="false" ht="15" hidden="false" customHeight="false" outlineLevel="0" collapsed="false">
      <c r="A182" s="83" t="str">
        <f aca="false">IF($L182="","",INDEX(Inv_Num,$L182))</f>
        <v/>
      </c>
      <c r="B182" s="67" t="str">
        <f aca="false">IF($L182="","",INDEX(Inv_Nom,$L182))</f>
        <v/>
      </c>
      <c r="C182" s="67" t="str">
        <f aca="false">IF($L182="","",T(INDEX(Inv_Fourn,$L182)))</f>
        <v/>
      </c>
      <c r="D182" s="83" t="str">
        <f aca="false">IF($L182="","",INDEX(Inv_StatutFDS,$L182))</f>
        <v/>
      </c>
      <c r="E182" s="85" t="str">
        <f aca="false">IF($L182="","",IF(INDEX(Inv_DateFDS,$L182)=0,"—",INDEX(Inv_DateFDS,$L182)))</f>
        <v/>
      </c>
      <c r="F182" s="85" t="str">
        <f aca="false">IF($L182="","",IF(INDEX(Inv_ProchVerif,$L182)="","—",INDEX(Inv_ProchVerif,$L182)))</f>
        <v/>
      </c>
      <c r="G182" s="87" t="str">
        <f aca="true">IF($L182="","",IF(OR(F182="—",F182=""),"—",F182-TODAY()))</f>
        <v/>
      </c>
      <c r="H182" s="83" t="str">
        <f aca="false">IF($L182="","",IF(AND(OR(D182="EXPIRÉE",D182="À RENOUVELER",D182="FDS ABSENTE"),J182="—"),"OUI","—"))</f>
        <v/>
      </c>
      <c r="I182" s="85" t="str">
        <f aca="false">IF($L182="","",IF(INDEX(Inv_DemFDS,$L182)=0,"—",INDEX(Inv_DemFDS,$L182)))</f>
        <v/>
      </c>
      <c r="J182" s="85" t="str">
        <f aca="false">IF($L182="","",IF(INDEX(Inv_RecFDS,$L182)=0,"—",INDEX(Inv_RecFDS,$L182)))</f>
        <v/>
      </c>
      <c r="L182" s="0" t="str">
        <f aca="false">IF(ROW()-5&gt;NbProduits,"",MATCH(SMALL(CleFDS,ROW()-5),CleFDS,0))</f>
        <v/>
      </c>
    </row>
    <row r="183" customFormat="false" ht="15" hidden="false" customHeight="false" outlineLevel="0" collapsed="false">
      <c r="A183" s="83" t="str">
        <f aca="false">IF($L183="","",INDEX(Inv_Num,$L183))</f>
        <v/>
      </c>
      <c r="B183" s="67" t="str">
        <f aca="false">IF($L183="","",INDEX(Inv_Nom,$L183))</f>
        <v/>
      </c>
      <c r="C183" s="67" t="str">
        <f aca="false">IF($L183="","",T(INDEX(Inv_Fourn,$L183)))</f>
        <v/>
      </c>
      <c r="D183" s="83" t="str">
        <f aca="false">IF($L183="","",INDEX(Inv_StatutFDS,$L183))</f>
        <v/>
      </c>
      <c r="E183" s="85" t="str">
        <f aca="false">IF($L183="","",IF(INDEX(Inv_DateFDS,$L183)=0,"—",INDEX(Inv_DateFDS,$L183)))</f>
        <v/>
      </c>
      <c r="F183" s="85" t="str">
        <f aca="false">IF($L183="","",IF(INDEX(Inv_ProchVerif,$L183)="","—",INDEX(Inv_ProchVerif,$L183)))</f>
        <v/>
      </c>
      <c r="G183" s="87" t="str">
        <f aca="true">IF($L183="","",IF(OR(F183="—",F183=""),"—",F183-TODAY()))</f>
        <v/>
      </c>
      <c r="H183" s="83" t="str">
        <f aca="false">IF($L183="","",IF(AND(OR(D183="EXPIRÉE",D183="À RENOUVELER",D183="FDS ABSENTE"),J183="—"),"OUI","—"))</f>
        <v/>
      </c>
      <c r="I183" s="85" t="str">
        <f aca="false">IF($L183="","",IF(INDEX(Inv_DemFDS,$L183)=0,"—",INDEX(Inv_DemFDS,$L183)))</f>
        <v/>
      </c>
      <c r="J183" s="85" t="str">
        <f aca="false">IF($L183="","",IF(INDEX(Inv_RecFDS,$L183)=0,"—",INDEX(Inv_RecFDS,$L183)))</f>
        <v/>
      </c>
      <c r="L183" s="0" t="str">
        <f aca="false">IF(ROW()-5&gt;NbProduits,"",MATCH(SMALL(CleFDS,ROW()-5),CleFDS,0))</f>
        <v/>
      </c>
    </row>
    <row r="184" customFormat="false" ht="15" hidden="false" customHeight="false" outlineLevel="0" collapsed="false">
      <c r="A184" s="83" t="str">
        <f aca="false">IF($L184="","",INDEX(Inv_Num,$L184))</f>
        <v/>
      </c>
      <c r="B184" s="67" t="str">
        <f aca="false">IF($L184="","",INDEX(Inv_Nom,$L184))</f>
        <v/>
      </c>
      <c r="C184" s="67" t="str">
        <f aca="false">IF($L184="","",T(INDEX(Inv_Fourn,$L184)))</f>
        <v/>
      </c>
      <c r="D184" s="83" t="str">
        <f aca="false">IF($L184="","",INDEX(Inv_StatutFDS,$L184))</f>
        <v/>
      </c>
      <c r="E184" s="85" t="str">
        <f aca="false">IF($L184="","",IF(INDEX(Inv_DateFDS,$L184)=0,"—",INDEX(Inv_DateFDS,$L184)))</f>
        <v/>
      </c>
      <c r="F184" s="85" t="str">
        <f aca="false">IF($L184="","",IF(INDEX(Inv_ProchVerif,$L184)="","—",INDEX(Inv_ProchVerif,$L184)))</f>
        <v/>
      </c>
      <c r="G184" s="87" t="str">
        <f aca="true">IF($L184="","",IF(OR(F184="—",F184=""),"—",F184-TODAY()))</f>
        <v/>
      </c>
      <c r="H184" s="83" t="str">
        <f aca="false">IF($L184="","",IF(AND(OR(D184="EXPIRÉE",D184="À RENOUVELER",D184="FDS ABSENTE"),J184="—"),"OUI","—"))</f>
        <v/>
      </c>
      <c r="I184" s="85" t="str">
        <f aca="false">IF($L184="","",IF(INDEX(Inv_DemFDS,$L184)=0,"—",INDEX(Inv_DemFDS,$L184)))</f>
        <v/>
      </c>
      <c r="J184" s="85" t="str">
        <f aca="false">IF($L184="","",IF(INDEX(Inv_RecFDS,$L184)=0,"—",INDEX(Inv_RecFDS,$L184)))</f>
        <v/>
      </c>
      <c r="L184" s="0" t="str">
        <f aca="false">IF(ROW()-5&gt;NbProduits,"",MATCH(SMALL(CleFDS,ROW()-5),CleFDS,0))</f>
        <v/>
      </c>
    </row>
    <row r="185" customFormat="false" ht="15" hidden="false" customHeight="false" outlineLevel="0" collapsed="false">
      <c r="A185" s="83" t="str">
        <f aca="false">IF($L185="","",INDEX(Inv_Num,$L185))</f>
        <v/>
      </c>
      <c r="B185" s="67" t="str">
        <f aca="false">IF($L185="","",INDEX(Inv_Nom,$L185))</f>
        <v/>
      </c>
      <c r="C185" s="67" t="str">
        <f aca="false">IF($L185="","",T(INDEX(Inv_Fourn,$L185)))</f>
        <v/>
      </c>
      <c r="D185" s="83" t="str">
        <f aca="false">IF($L185="","",INDEX(Inv_StatutFDS,$L185))</f>
        <v/>
      </c>
      <c r="E185" s="85" t="str">
        <f aca="false">IF($L185="","",IF(INDEX(Inv_DateFDS,$L185)=0,"—",INDEX(Inv_DateFDS,$L185)))</f>
        <v/>
      </c>
      <c r="F185" s="85" t="str">
        <f aca="false">IF($L185="","",IF(INDEX(Inv_ProchVerif,$L185)="","—",INDEX(Inv_ProchVerif,$L185)))</f>
        <v/>
      </c>
      <c r="G185" s="87" t="str">
        <f aca="true">IF($L185="","",IF(OR(F185="—",F185=""),"—",F185-TODAY()))</f>
        <v/>
      </c>
      <c r="H185" s="83" t="str">
        <f aca="false">IF($L185="","",IF(AND(OR(D185="EXPIRÉE",D185="À RENOUVELER",D185="FDS ABSENTE"),J185="—"),"OUI","—"))</f>
        <v/>
      </c>
      <c r="I185" s="85" t="str">
        <f aca="false">IF($L185="","",IF(INDEX(Inv_DemFDS,$L185)=0,"—",INDEX(Inv_DemFDS,$L185)))</f>
        <v/>
      </c>
      <c r="J185" s="85" t="str">
        <f aca="false">IF($L185="","",IF(INDEX(Inv_RecFDS,$L185)=0,"—",INDEX(Inv_RecFDS,$L185)))</f>
        <v/>
      </c>
      <c r="L185" s="0" t="str">
        <f aca="false">IF(ROW()-5&gt;NbProduits,"",MATCH(SMALL(CleFDS,ROW()-5),CleFDS,0))</f>
        <v/>
      </c>
    </row>
    <row r="186" customFormat="false" ht="15" hidden="false" customHeight="false" outlineLevel="0" collapsed="false">
      <c r="A186" s="83" t="str">
        <f aca="false">IF($L186="","",INDEX(Inv_Num,$L186))</f>
        <v/>
      </c>
      <c r="B186" s="67" t="str">
        <f aca="false">IF($L186="","",INDEX(Inv_Nom,$L186))</f>
        <v/>
      </c>
      <c r="C186" s="67" t="str">
        <f aca="false">IF($L186="","",T(INDEX(Inv_Fourn,$L186)))</f>
        <v/>
      </c>
      <c r="D186" s="83" t="str">
        <f aca="false">IF($L186="","",INDEX(Inv_StatutFDS,$L186))</f>
        <v/>
      </c>
      <c r="E186" s="85" t="str">
        <f aca="false">IF($L186="","",IF(INDEX(Inv_DateFDS,$L186)=0,"—",INDEX(Inv_DateFDS,$L186)))</f>
        <v/>
      </c>
      <c r="F186" s="85" t="str">
        <f aca="false">IF($L186="","",IF(INDEX(Inv_ProchVerif,$L186)="","—",INDEX(Inv_ProchVerif,$L186)))</f>
        <v/>
      </c>
      <c r="G186" s="87" t="str">
        <f aca="true">IF($L186="","",IF(OR(F186="—",F186=""),"—",F186-TODAY()))</f>
        <v/>
      </c>
      <c r="H186" s="83" t="str">
        <f aca="false">IF($L186="","",IF(AND(OR(D186="EXPIRÉE",D186="À RENOUVELER",D186="FDS ABSENTE"),J186="—"),"OUI","—"))</f>
        <v/>
      </c>
      <c r="I186" s="85" t="str">
        <f aca="false">IF($L186="","",IF(INDEX(Inv_DemFDS,$L186)=0,"—",INDEX(Inv_DemFDS,$L186)))</f>
        <v/>
      </c>
      <c r="J186" s="85" t="str">
        <f aca="false">IF($L186="","",IF(INDEX(Inv_RecFDS,$L186)=0,"—",INDEX(Inv_RecFDS,$L186)))</f>
        <v/>
      </c>
      <c r="L186" s="0" t="str">
        <f aca="false">IF(ROW()-5&gt;NbProduits,"",MATCH(SMALL(CleFDS,ROW()-5),CleFDS,0))</f>
        <v/>
      </c>
    </row>
    <row r="187" customFormat="false" ht="15" hidden="false" customHeight="false" outlineLevel="0" collapsed="false">
      <c r="A187" s="83" t="str">
        <f aca="false">IF($L187="","",INDEX(Inv_Num,$L187))</f>
        <v/>
      </c>
      <c r="B187" s="67" t="str">
        <f aca="false">IF($L187="","",INDEX(Inv_Nom,$L187))</f>
        <v/>
      </c>
      <c r="C187" s="67" t="str">
        <f aca="false">IF($L187="","",T(INDEX(Inv_Fourn,$L187)))</f>
        <v/>
      </c>
      <c r="D187" s="83" t="str">
        <f aca="false">IF($L187="","",INDEX(Inv_StatutFDS,$L187))</f>
        <v/>
      </c>
      <c r="E187" s="85" t="str">
        <f aca="false">IF($L187="","",IF(INDEX(Inv_DateFDS,$L187)=0,"—",INDEX(Inv_DateFDS,$L187)))</f>
        <v/>
      </c>
      <c r="F187" s="85" t="str">
        <f aca="false">IF($L187="","",IF(INDEX(Inv_ProchVerif,$L187)="","—",INDEX(Inv_ProchVerif,$L187)))</f>
        <v/>
      </c>
      <c r="G187" s="87" t="str">
        <f aca="true">IF($L187="","",IF(OR(F187="—",F187=""),"—",F187-TODAY()))</f>
        <v/>
      </c>
      <c r="H187" s="83" t="str">
        <f aca="false">IF($L187="","",IF(AND(OR(D187="EXPIRÉE",D187="À RENOUVELER",D187="FDS ABSENTE"),J187="—"),"OUI","—"))</f>
        <v/>
      </c>
      <c r="I187" s="85" t="str">
        <f aca="false">IF($L187="","",IF(INDEX(Inv_DemFDS,$L187)=0,"—",INDEX(Inv_DemFDS,$L187)))</f>
        <v/>
      </c>
      <c r="J187" s="85" t="str">
        <f aca="false">IF($L187="","",IF(INDEX(Inv_RecFDS,$L187)=0,"—",INDEX(Inv_RecFDS,$L187)))</f>
        <v/>
      </c>
      <c r="L187" s="0" t="str">
        <f aca="false">IF(ROW()-5&gt;NbProduits,"",MATCH(SMALL(CleFDS,ROW()-5),CleFDS,0))</f>
        <v/>
      </c>
    </row>
    <row r="188" customFormat="false" ht="15" hidden="false" customHeight="false" outlineLevel="0" collapsed="false">
      <c r="A188" s="83" t="str">
        <f aca="false">IF($L188="","",INDEX(Inv_Num,$L188))</f>
        <v/>
      </c>
      <c r="B188" s="67" t="str">
        <f aca="false">IF($L188="","",INDEX(Inv_Nom,$L188))</f>
        <v/>
      </c>
      <c r="C188" s="67" t="str">
        <f aca="false">IF($L188="","",T(INDEX(Inv_Fourn,$L188)))</f>
        <v/>
      </c>
      <c r="D188" s="83" t="str">
        <f aca="false">IF($L188="","",INDEX(Inv_StatutFDS,$L188))</f>
        <v/>
      </c>
      <c r="E188" s="85" t="str">
        <f aca="false">IF($L188="","",IF(INDEX(Inv_DateFDS,$L188)=0,"—",INDEX(Inv_DateFDS,$L188)))</f>
        <v/>
      </c>
      <c r="F188" s="85" t="str">
        <f aca="false">IF($L188="","",IF(INDEX(Inv_ProchVerif,$L188)="","—",INDEX(Inv_ProchVerif,$L188)))</f>
        <v/>
      </c>
      <c r="G188" s="87" t="str">
        <f aca="true">IF($L188="","",IF(OR(F188="—",F188=""),"—",F188-TODAY()))</f>
        <v/>
      </c>
      <c r="H188" s="83" t="str">
        <f aca="false">IF($L188="","",IF(AND(OR(D188="EXPIRÉE",D188="À RENOUVELER",D188="FDS ABSENTE"),J188="—"),"OUI","—"))</f>
        <v/>
      </c>
      <c r="I188" s="85" t="str">
        <f aca="false">IF($L188="","",IF(INDEX(Inv_DemFDS,$L188)=0,"—",INDEX(Inv_DemFDS,$L188)))</f>
        <v/>
      </c>
      <c r="J188" s="85" t="str">
        <f aca="false">IF($L188="","",IF(INDEX(Inv_RecFDS,$L188)=0,"—",INDEX(Inv_RecFDS,$L188)))</f>
        <v/>
      </c>
      <c r="L188" s="0" t="str">
        <f aca="false">IF(ROW()-5&gt;NbProduits,"",MATCH(SMALL(CleFDS,ROW()-5),CleFDS,0))</f>
        <v/>
      </c>
    </row>
    <row r="189" customFormat="false" ht="15" hidden="false" customHeight="false" outlineLevel="0" collapsed="false">
      <c r="A189" s="83" t="str">
        <f aca="false">IF($L189="","",INDEX(Inv_Num,$L189))</f>
        <v/>
      </c>
      <c r="B189" s="67" t="str">
        <f aca="false">IF($L189="","",INDEX(Inv_Nom,$L189))</f>
        <v/>
      </c>
      <c r="C189" s="67" t="str">
        <f aca="false">IF($L189="","",T(INDEX(Inv_Fourn,$L189)))</f>
        <v/>
      </c>
      <c r="D189" s="83" t="str">
        <f aca="false">IF($L189="","",INDEX(Inv_StatutFDS,$L189))</f>
        <v/>
      </c>
      <c r="E189" s="85" t="str">
        <f aca="false">IF($L189="","",IF(INDEX(Inv_DateFDS,$L189)=0,"—",INDEX(Inv_DateFDS,$L189)))</f>
        <v/>
      </c>
      <c r="F189" s="85" t="str">
        <f aca="false">IF($L189="","",IF(INDEX(Inv_ProchVerif,$L189)="","—",INDEX(Inv_ProchVerif,$L189)))</f>
        <v/>
      </c>
      <c r="G189" s="87" t="str">
        <f aca="true">IF($L189="","",IF(OR(F189="—",F189=""),"—",F189-TODAY()))</f>
        <v/>
      </c>
      <c r="H189" s="83" t="str">
        <f aca="false">IF($L189="","",IF(AND(OR(D189="EXPIRÉE",D189="À RENOUVELER",D189="FDS ABSENTE"),J189="—"),"OUI","—"))</f>
        <v/>
      </c>
      <c r="I189" s="85" t="str">
        <f aca="false">IF($L189="","",IF(INDEX(Inv_DemFDS,$L189)=0,"—",INDEX(Inv_DemFDS,$L189)))</f>
        <v/>
      </c>
      <c r="J189" s="85" t="str">
        <f aca="false">IF($L189="","",IF(INDEX(Inv_RecFDS,$L189)=0,"—",INDEX(Inv_RecFDS,$L189)))</f>
        <v/>
      </c>
      <c r="L189" s="0" t="str">
        <f aca="false">IF(ROW()-5&gt;NbProduits,"",MATCH(SMALL(CleFDS,ROW()-5),CleFDS,0))</f>
        <v/>
      </c>
    </row>
    <row r="190" customFormat="false" ht="15" hidden="false" customHeight="false" outlineLevel="0" collapsed="false">
      <c r="A190" s="83" t="str">
        <f aca="false">IF($L190="","",INDEX(Inv_Num,$L190))</f>
        <v/>
      </c>
      <c r="B190" s="67" t="str">
        <f aca="false">IF($L190="","",INDEX(Inv_Nom,$L190))</f>
        <v/>
      </c>
      <c r="C190" s="67" t="str">
        <f aca="false">IF($L190="","",T(INDEX(Inv_Fourn,$L190)))</f>
        <v/>
      </c>
      <c r="D190" s="83" t="str">
        <f aca="false">IF($L190="","",INDEX(Inv_StatutFDS,$L190))</f>
        <v/>
      </c>
      <c r="E190" s="85" t="str">
        <f aca="false">IF($L190="","",IF(INDEX(Inv_DateFDS,$L190)=0,"—",INDEX(Inv_DateFDS,$L190)))</f>
        <v/>
      </c>
      <c r="F190" s="85" t="str">
        <f aca="false">IF($L190="","",IF(INDEX(Inv_ProchVerif,$L190)="","—",INDEX(Inv_ProchVerif,$L190)))</f>
        <v/>
      </c>
      <c r="G190" s="87" t="str">
        <f aca="true">IF($L190="","",IF(OR(F190="—",F190=""),"—",F190-TODAY()))</f>
        <v/>
      </c>
      <c r="H190" s="83" t="str">
        <f aca="false">IF($L190="","",IF(AND(OR(D190="EXPIRÉE",D190="À RENOUVELER",D190="FDS ABSENTE"),J190="—"),"OUI","—"))</f>
        <v/>
      </c>
      <c r="I190" s="85" t="str">
        <f aca="false">IF($L190="","",IF(INDEX(Inv_DemFDS,$L190)=0,"—",INDEX(Inv_DemFDS,$L190)))</f>
        <v/>
      </c>
      <c r="J190" s="85" t="str">
        <f aca="false">IF($L190="","",IF(INDEX(Inv_RecFDS,$L190)=0,"—",INDEX(Inv_RecFDS,$L190)))</f>
        <v/>
      </c>
      <c r="L190" s="0" t="str">
        <f aca="false">IF(ROW()-5&gt;NbProduits,"",MATCH(SMALL(CleFDS,ROW()-5),CleFDS,0))</f>
        <v/>
      </c>
    </row>
    <row r="191" customFormat="false" ht="15" hidden="false" customHeight="false" outlineLevel="0" collapsed="false">
      <c r="A191" s="83" t="str">
        <f aca="false">IF($L191="","",INDEX(Inv_Num,$L191))</f>
        <v/>
      </c>
      <c r="B191" s="67" t="str">
        <f aca="false">IF($L191="","",INDEX(Inv_Nom,$L191))</f>
        <v/>
      </c>
      <c r="C191" s="67" t="str">
        <f aca="false">IF($L191="","",T(INDEX(Inv_Fourn,$L191)))</f>
        <v/>
      </c>
      <c r="D191" s="83" t="str">
        <f aca="false">IF($L191="","",INDEX(Inv_StatutFDS,$L191))</f>
        <v/>
      </c>
      <c r="E191" s="85" t="str">
        <f aca="false">IF($L191="","",IF(INDEX(Inv_DateFDS,$L191)=0,"—",INDEX(Inv_DateFDS,$L191)))</f>
        <v/>
      </c>
      <c r="F191" s="85" t="str">
        <f aca="false">IF($L191="","",IF(INDEX(Inv_ProchVerif,$L191)="","—",INDEX(Inv_ProchVerif,$L191)))</f>
        <v/>
      </c>
      <c r="G191" s="87" t="str">
        <f aca="true">IF($L191="","",IF(OR(F191="—",F191=""),"—",F191-TODAY()))</f>
        <v/>
      </c>
      <c r="H191" s="83" t="str">
        <f aca="false">IF($L191="","",IF(AND(OR(D191="EXPIRÉE",D191="À RENOUVELER",D191="FDS ABSENTE"),J191="—"),"OUI","—"))</f>
        <v/>
      </c>
      <c r="I191" s="85" t="str">
        <f aca="false">IF($L191="","",IF(INDEX(Inv_DemFDS,$L191)=0,"—",INDEX(Inv_DemFDS,$L191)))</f>
        <v/>
      </c>
      <c r="J191" s="85" t="str">
        <f aca="false">IF($L191="","",IF(INDEX(Inv_RecFDS,$L191)=0,"—",INDEX(Inv_RecFDS,$L191)))</f>
        <v/>
      </c>
      <c r="L191" s="0" t="str">
        <f aca="false">IF(ROW()-5&gt;NbProduits,"",MATCH(SMALL(CleFDS,ROW()-5),CleFDS,0))</f>
        <v/>
      </c>
    </row>
    <row r="192" customFormat="false" ht="15" hidden="false" customHeight="false" outlineLevel="0" collapsed="false">
      <c r="A192" s="83" t="str">
        <f aca="false">IF($L192="","",INDEX(Inv_Num,$L192))</f>
        <v/>
      </c>
      <c r="B192" s="67" t="str">
        <f aca="false">IF($L192="","",INDEX(Inv_Nom,$L192))</f>
        <v/>
      </c>
      <c r="C192" s="67" t="str">
        <f aca="false">IF($L192="","",T(INDEX(Inv_Fourn,$L192)))</f>
        <v/>
      </c>
      <c r="D192" s="83" t="str">
        <f aca="false">IF($L192="","",INDEX(Inv_StatutFDS,$L192))</f>
        <v/>
      </c>
      <c r="E192" s="85" t="str">
        <f aca="false">IF($L192="","",IF(INDEX(Inv_DateFDS,$L192)=0,"—",INDEX(Inv_DateFDS,$L192)))</f>
        <v/>
      </c>
      <c r="F192" s="85" t="str">
        <f aca="false">IF($L192="","",IF(INDEX(Inv_ProchVerif,$L192)="","—",INDEX(Inv_ProchVerif,$L192)))</f>
        <v/>
      </c>
      <c r="G192" s="87" t="str">
        <f aca="true">IF($L192="","",IF(OR(F192="—",F192=""),"—",F192-TODAY()))</f>
        <v/>
      </c>
      <c r="H192" s="83" t="str">
        <f aca="false">IF($L192="","",IF(AND(OR(D192="EXPIRÉE",D192="À RENOUVELER",D192="FDS ABSENTE"),J192="—"),"OUI","—"))</f>
        <v/>
      </c>
      <c r="I192" s="85" t="str">
        <f aca="false">IF($L192="","",IF(INDEX(Inv_DemFDS,$L192)=0,"—",INDEX(Inv_DemFDS,$L192)))</f>
        <v/>
      </c>
      <c r="J192" s="85" t="str">
        <f aca="false">IF($L192="","",IF(INDEX(Inv_RecFDS,$L192)=0,"—",INDEX(Inv_RecFDS,$L192)))</f>
        <v/>
      </c>
      <c r="L192" s="0" t="str">
        <f aca="false">IF(ROW()-5&gt;NbProduits,"",MATCH(SMALL(CleFDS,ROW()-5),CleFDS,0))</f>
        <v/>
      </c>
    </row>
    <row r="193" customFormat="false" ht="15" hidden="false" customHeight="false" outlineLevel="0" collapsed="false">
      <c r="A193" s="83" t="str">
        <f aca="false">IF($L193="","",INDEX(Inv_Num,$L193))</f>
        <v/>
      </c>
      <c r="B193" s="67" t="str">
        <f aca="false">IF($L193="","",INDEX(Inv_Nom,$L193))</f>
        <v/>
      </c>
      <c r="C193" s="67" t="str">
        <f aca="false">IF($L193="","",T(INDEX(Inv_Fourn,$L193)))</f>
        <v/>
      </c>
      <c r="D193" s="83" t="str">
        <f aca="false">IF($L193="","",INDEX(Inv_StatutFDS,$L193))</f>
        <v/>
      </c>
      <c r="E193" s="85" t="str">
        <f aca="false">IF($L193="","",IF(INDEX(Inv_DateFDS,$L193)=0,"—",INDEX(Inv_DateFDS,$L193)))</f>
        <v/>
      </c>
      <c r="F193" s="85" t="str">
        <f aca="false">IF($L193="","",IF(INDEX(Inv_ProchVerif,$L193)="","—",INDEX(Inv_ProchVerif,$L193)))</f>
        <v/>
      </c>
      <c r="G193" s="87" t="str">
        <f aca="true">IF($L193="","",IF(OR(F193="—",F193=""),"—",F193-TODAY()))</f>
        <v/>
      </c>
      <c r="H193" s="83" t="str">
        <f aca="false">IF($L193="","",IF(AND(OR(D193="EXPIRÉE",D193="À RENOUVELER",D193="FDS ABSENTE"),J193="—"),"OUI","—"))</f>
        <v/>
      </c>
      <c r="I193" s="85" t="str">
        <f aca="false">IF($L193="","",IF(INDEX(Inv_DemFDS,$L193)=0,"—",INDEX(Inv_DemFDS,$L193)))</f>
        <v/>
      </c>
      <c r="J193" s="85" t="str">
        <f aca="false">IF($L193="","",IF(INDEX(Inv_RecFDS,$L193)=0,"—",INDEX(Inv_RecFDS,$L193)))</f>
        <v/>
      </c>
      <c r="L193" s="0" t="str">
        <f aca="false">IF(ROW()-5&gt;NbProduits,"",MATCH(SMALL(CleFDS,ROW()-5),CleFDS,0))</f>
        <v/>
      </c>
    </row>
    <row r="194" customFormat="false" ht="15" hidden="false" customHeight="false" outlineLevel="0" collapsed="false">
      <c r="A194" s="83" t="str">
        <f aca="false">IF($L194="","",INDEX(Inv_Num,$L194))</f>
        <v/>
      </c>
      <c r="B194" s="67" t="str">
        <f aca="false">IF($L194="","",INDEX(Inv_Nom,$L194))</f>
        <v/>
      </c>
      <c r="C194" s="67" t="str">
        <f aca="false">IF($L194="","",T(INDEX(Inv_Fourn,$L194)))</f>
        <v/>
      </c>
      <c r="D194" s="83" t="str">
        <f aca="false">IF($L194="","",INDEX(Inv_StatutFDS,$L194))</f>
        <v/>
      </c>
      <c r="E194" s="85" t="str">
        <f aca="false">IF($L194="","",IF(INDEX(Inv_DateFDS,$L194)=0,"—",INDEX(Inv_DateFDS,$L194)))</f>
        <v/>
      </c>
      <c r="F194" s="85" t="str">
        <f aca="false">IF($L194="","",IF(INDEX(Inv_ProchVerif,$L194)="","—",INDEX(Inv_ProchVerif,$L194)))</f>
        <v/>
      </c>
      <c r="G194" s="87" t="str">
        <f aca="true">IF($L194="","",IF(OR(F194="—",F194=""),"—",F194-TODAY()))</f>
        <v/>
      </c>
      <c r="H194" s="83" t="str">
        <f aca="false">IF($L194="","",IF(AND(OR(D194="EXPIRÉE",D194="À RENOUVELER",D194="FDS ABSENTE"),J194="—"),"OUI","—"))</f>
        <v/>
      </c>
      <c r="I194" s="85" t="str">
        <f aca="false">IF($L194="","",IF(INDEX(Inv_DemFDS,$L194)=0,"—",INDEX(Inv_DemFDS,$L194)))</f>
        <v/>
      </c>
      <c r="J194" s="85" t="str">
        <f aca="false">IF($L194="","",IF(INDEX(Inv_RecFDS,$L194)=0,"—",INDEX(Inv_RecFDS,$L194)))</f>
        <v/>
      </c>
      <c r="L194" s="0" t="str">
        <f aca="false">IF(ROW()-5&gt;NbProduits,"",MATCH(SMALL(CleFDS,ROW()-5),CleFDS,0))</f>
        <v/>
      </c>
    </row>
    <row r="195" customFormat="false" ht="15" hidden="false" customHeight="false" outlineLevel="0" collapsed="false">
      <c r="A195" s="83" t="str">
        <f aca="false">IF($L195="","",INDEX(Inv_Num,$L195))</f>
        <v/>
      </c>
      <c r="B195" s="67" t="str">
        <f aca="false">IF($L195="","",INDEX(Inv_Nom,$L195))</f>
        <v/>
      </c>
      <c r="C195" s="67" t="str">
        <f aca="false">IF($L195="","",T(INDEX(Inv_Fourn,$L195)))</f>
        <v/>
      </c>
      <c r="D195" s="83" t="str">
        <f aca="false">IF($L195="","",INDEX(Inv_StatutFDS,$L195))</f>
        <v/>
      </c>
      <c r="E195" s="85" t="str">
        <f aca="false">IF($L195="","",IF(INDEX(Inv_DateFDS,$L195)=0,"—",INDEX(Inv_DateFDS,$L195)))</f>
        <v/>
      </c>
      <c r="F195" s="85" t="str">
        <f aca="false">IF($L195="","",IF(INDEX(Inv_ProchVerif,$L195)="","—",INDEX(Inv_ProchVerif,$L195)))</f>
        <v/>
      </c>
      <c r="G195" s="87" t="str">
        <f aca="true">IF($L195="","",IF(OR(F195="—",F195=""),"—",F195-TODAY()))</f>
        <v/>
      </c>
      <c r="H195" s="83" t="str">
        <f aca="false">IF($L195="","",IF(AND(OR(D195="EXPIRÉE",D195="À RENOUVELER",D195="FDS ABSENTE"),J195="—"),"OUI","—"))</f>
        <v/>
      </c>
      <c r="I195" s="85" t="str">
        <f aca="false">IF($L195="","",IF(INDEX(Inv_DemFDS,$L195)=0,"—",INDEX(Inv_DemFDS,$L195)))</f>
        <v/>
      </c>
      <c r="J195" s="85" t="str">
        <f aca="false">IF($L195="","",IF(INDEX(Inv_RecFDS,$L195)=0,"—",INDEX(Inv_RecFDS,$L195)))</f>
        <v/>
      </c>
      <c r="L195" s="0" t="str">
        <f aca="false">IF(ROW()-5&gt;NbProduits,"",MATCH(SMALL(CleFDS,ROW()-5),CleFDS,0))</f>
        <v/>
      </c>
    </row>
    <row r="196" customFormat="false" ht="15" hidden="false" customHeight="false" outlineLevel="0" collapsed="false">
      <c r="A196" s="83" t="str">
        <f aca="false">IF($L196="","",INDEX(Inv_Num,$L196))</f>
        <v/>
      </c>
      <c r="B196" s="67" t="str">
        <f aca="false">IF($L196="","",INDEX(Inv_Nom,$L196))</f>
        <v/>
      </c>
      <c r="C196" s="67" t="str">
        <f aca="false">IF($L196="","",T(INDEX(Inv_Fourn,$L196)))</f>
        <v/>
      </c>
      <c r="D196" s="83" t="str">
        <f aca="false">IF($L196="","",INDEX(Inv_StatutFDS,$L196))</f>
        <v/>
      </c>
      <c r="E196" s="85" t="str">
        <f aca="false">IF($L196="","",IF(INDEX(Inv_DateFDS,$L196)=0,"—",INDEX(Inv_DateFDS,$L196)))</f>
        <v/>
      </c>
      <c r="F196" s="85" t="str">
        <f aca="false">IF($L196="","",IF(INDEX(Inv_ProchVerif,$L196)="","—",INDEX(Inv_ProchVerif,$L196)))</f>
        <v/>
      </c>
      <c r="G196" s="87" t="str">
        <f aca="true">IF($L196="","",IF(OR(F196="—",F196=""),"—",F196-TODAY()))</f>
        <v/>
      </c>
      <c r="H196" s="83" t="str">
        <f aca="false">IF($L196="","",IF(AND(OR(D196="EXPIRÉE",D196="À RENOUVELER",D196="FDS ABSENTE"),J196="—"),"OUI","—"))</f>
        <v/>
      </c>
      <c r="I196" s="85" t="str">
        <f aca="false">IF($L196="","",IF(INDEX(Inv_DemFDS,$L196)=0,"—",INDEX(Inv_DemFDS,$L196)))</f>
        <v/>
      </c>
      <c r="J196" s="85" t="str">
        <f aca="false">IF($L196="","",IF(INDEX(Inv_RecFDS,$L196)=0,"—",INDEX(Inv_RecFDS,$L196)))</f>
        <v/>
      </c>
      <c r="L196" s="0" t="str">
        <f aca="false">IF(ROW()-5&gt;NbProduits,"",MATCH(SMALL(CleFDS,ROW()-5),CleFDS,0))</f>
        <v/>
      </c>
    </row>
    <row r="197" customFormat="false" ht="15" hidden="false" customHeight="false" outlineLevel="0" collapsed="false">
      <c r="A197" s="83" t="str">
        <f aca="false">IF($L197="","",INDEX(Inv_Num,$L197))</f>
        <v/>
      </c>
      <c r="B197" s="67" t="str">
        <f aca="false">IF($L197="","",INDEX(Inv_Nom,$L197))</f>
        <v/>
      </c>
      <c r="C197" s="67" t="str">
        <f aca="false">IF($L197="","",T(INDEX(Inv_Fourn,$L197)))</f>
        <v/>
      </c>
      <c r="D197" s="83" t="str">
        <f aca="false">IF($L197="","",INDEX(Inv_StatutFDS,$L197))</f>
        <v/>
      </c>
      <c r="E197" s="85" t="str">
        <f aca="false">IF($L197="","",IF(INDEX(Inv_DateFDS,$L197)=0,"—",INDEX(Inv_DateFDS,$L197)))</f>
        <v/>
      </c>
      <c r="F197" s="85" t="str">
        <f aca="false">IF($L197="","",IF(INDEX(Inv_ProchVerif,$L197)="","—",INDEX(Inv_ProchVerif,$L197)))</f>
        <v/>
      </c>
      <c r="G197" s="87" t="str">
        <f aca="true">IF($L197="","",IF(OR(F197="—",F197=""),"—",F197-TODAY()))</f>
        <v/>
      </c>
      <c r="H197" s="83" t="str">
        <f aca="false">IF($L197="","",IF(AND(OR(D197="EXPIRÉE",D197="À RENOUVELER",D197="FDS ABSENTE"),J197="—"),"OUI","—"))</f>
        <v/>
      </c>
      <c r="I197" s="85" t="str">
        <f aca="false">IF($L197="","",IF(INDEX(Inv_DemFDS,$L197)=0,"—",INDEX(Inv_DemFDS,$L197)))</f>
        <v/>
      </c>
      <c r="J197" s="85" t="str">
        <f aca="false">IF($L197="","",IF(INDEX(Inv_RecFDS,$L197)=0,"—",INDEX(Inv_RecFDS,$L197)))</f>
        <v/>
      </c>
      <c r="L197" s="0" t="str">
        <f aca="false">IF(ROW()-5&gt;NbProduits,"",MATCH(SMALL(CleFDS,ROW()-5),CleFDS,0))</f>
        <v/>
      </c>
    </row>
    <row r="198" customFormat="false" ht="15" hidden="false" customHeight="false" outlineLevel="0" collapsed="false">
      <c r="A198" s="83" t="str">
        <f aca="false">IF($L198="","",INDEX(Inv_Num,$L198))</f>
        <v/>
      </c>
      <c r="B198" s="67" t="str">
        <f aca="false">IF($L198="","",INDEX(Inv_Nom,$L198))</f>
        <v/>
      </c>
      <c r="C198" s="67" t="str">
        <f aca="false">IF($L198="","",T(INDEX(Inv_Fourn,$L198)))</f>
        <v/>
      </c>
      <c r="D198" s="83" t="str">
        <f aca="false">IF($L198="","",INDEX(Inv_StatutFDS,$L198))</f>
        <v/>
      </c>
      <c r="E198" s="85" t="str">
        <f aca="false">IF($L198="","",IF(INDEX(Inv_DateFDS,$L198)=0,"—",INDEX(Inv_DateFDS,$L198)))</f>
        <v/>
      </c>
      <c r="F198" s="85" t="str">
        <f aca="false">IF($L198="","",IF(INDEX(Inv_ProchVerif,$L198)="","—",INDEX(Inv_ProchVerif,$L198)))</f>
        <v/>
      </c>
      <c r="G198" s="87" t="str">
        <f aca="true">IF($L198="","",IF(OR(F198="—",F198=""),"—",F198-TODAY()))</f>
        <v/>
      </c>
      <c r="H198" s="83" t="str">
        <f aca="false">IF($L198="","",IF(AND(OR(D198="EXPIRÉE",D198="À RENOUVELER",D198="FDS ABSENTE"),J198="—"),"OUI","—"))</f>
        <v/>
      </c>
      <c r="I198" s="85" t="str">
        <f aca="false">IF($L198="","",IF(INDEX(Inv_DemFDS,$L198)=0,"—",INDEX(Inv_DemFDS,$L198)))</f>
        <v/>
      </c>
      <c r="J198" s="85" t="str">
        <f aca="false">IF($L198="","",IF(INDEX(Inv_RecFDS,$L198)=0,"—",INDEX(Inv_RecFDS,$L198)))</f>
        <v/>
      </c>
      <c r="L198" s="0" t="str">
        <f aca="false">IF(ROW()-5&gt;NbProduits,"",MATCH(SMALL(CleFDS,ROW()-5),CleFDS,0))</f>
        <v/>
      </c>
    </row>
    <row r="199" customFormat="false" ht="15" hidden="false" customHeight="false" outlineLevel="0" collapsed="false">
      <c r="A199" s="83" t="str">
        <f aca="false">IF($L199="","",INDEX(Inv_Num,$L199))</f>
        <v/>
      </c>
      <c r="B199" s="67" t="str">
        <f aca="false">IF($L199="","",INDEX(Inv_Nom,$L199))</f>
        <v/>
      </c>
      <c r="C199" s="67" t="str">
        <f aca="false">IF($L199="","",T(INDEX(Inv_Fourn,$L199)))</f>
        <v/>
      </c>
      <c r="D199" s="83" t="str">
        <f aca="false">IF($L199="","",INDEX(Inv_StatutFDS,$L199))</f>
        <v/>
      </c>
      <c r="E199" s="85" t="str">
        <f aca="false">IF($L199="","",IF(INDEX(Inv_DateFDS,$L199)=0,"—",INDEX(Inv_DateFDS,$L199)))</f>
        <v/>
      </c>
      <c r="F199" s="85" t="str">
        <f aca="false">IF($L199="","",IF(INDEX(Inv_ProchVerif,$L199)="","—",INDEX(Inv_ProchVerif,$L199)))</f>
        <v/>
      </c>
      <c r="G199" s="87" t="str">
        <f aca="true">IF($L199="","",IF(OR(F199="—",F199=""),"—",F199-TODAY()))</f>
        <v/>
      </c>
      <c r="H199" s="83" t="str">
        <f aca="false">IF($L199="","",IF(AND(OR(D199="EXPIRÉE",D199="À RENOUVELER",D199="FDS ABSENTE"),J199="—"),"OUI","—"))</f>
        <v/>
      </c>
      <c r="I199" s="85" t="str">
        <f aca="false">IF($L199="","",IF(INDEX(Inv_DemFDS,$L199)=0,"—",INDEX(Inv_DemFDS,$L199)))</f>
        <v/>
      </c>
      <c r="J199" s="85" t="str">
        <f aca="false">IF($L199="","",IF(INDEX(Inv_RecFDS,$L199)=0,"—",INDEX(Inv_RecFDS,$L199)))</f>
        <v/>
      </c>
      <c r="L199" s="0" t="str">
        <f aca="false">IF(ROW()-5&gt;NbProduits,"",MATCH(SMALL(CleFDS,ROW()-5),CleFDS,0))</f>
        <v/>
      </c>
    </row>
    <row r="200" customFormat="false" ht="15" hidden="false" customHeight="false" outlineLevel="0" collapsed="false">
      <c r="A200" s="83" t="str">
        <f aca="false">IF($L200="","",INDEX(Inv_Num,$L200))</f>
        <v/>
      </c>
      <c r="B200" s="67" t="str">
        <f aca="false">IF($L200="","",INDEX(Inv_Nom,$L200))</f>
        <v/>
      </c>
      <c r="C200" s="67" t="str">
        <f aca="false">IF($L200="","",T(INDEX(Inv_Fourn,$L200)))</f>
        <v/>
      </c>
      <c r="D200" s="83" t="str">
        <f aca="false">IF($L200="","",INDEX(Inv_StatutFDS,$L200))</f>
        <v/>
      </c>
      <c r="E200" s="85" t="str">
        <f aca="false">IF($L200="","",IF(INDEX(Inv_DateFDS,$L200)=0,"—",INDEX(Inv_DateFDS,$L200)))</f>
        <v/>
      </c>
      <c r="F200" s="85" t="str">
        <f aca="false">IF($L200="","",IF(INDEX(Inv_ProchVerif,$L200)="","—",INDEX(Inv_ProchVerif,$L200)))</f>
        <v/>
      </c>
      <c r="G200" s="87" t="str">
        <f aca="true">IF($L200="","",IF(OR(F200="—",F200=""),"—",F200-TODAY()))</f>
        <v/>
      </c>
      <c r="H200" s="83" t="str">
        <f aca="false">IF($L200="","",IF(AND(OR(D200="EXPIRÉE",D200="À RENOUVELER",D200="FDS ABSENTE"),J200="—"),"OUI","—"))</f>
        <v/>
      </c>
      <c r="I200" s="85" t="str">
        <f aca="false">IF($L200="","",IF(INDEX(Inv_DemFDS,$L200)=0,"—",INDEX(Inv_DemFDS,$L200)))</f>
        <v/>
      </c>
      <c r="J200" s="85" t="str">
        <f aca="false">IF($L200="","",IF(INDEX(Inv_RecFDS,$L200)=0,"—",INDEX(Inv_RecFDS,$L200)))</f>
        <v/>
      </c>
      <c r="L200" s="0" t="str">
        <f aca="false">IF(ROW()-5&gt;NbProduits,"",MATCH(SMALL(CleFDS,ROW()-5),CleFDS,0))</f>
        <v/>
      </c>
    </row>
    <row r="201" customFormat="false" ht="15" hidden="false" customHeight="false" outlineLevel="0" collapsed="false">
      <c r="A201" s="83" t="str">
        <f aca="false">IF($L201="","",INDEX(Inv_Num,$L201))</f>
        <v/>
      </c>
      <c r="B201" s="67" t="str">
        <f aca="false">IF($L201="","",INDEX(Inv_Nom,$L201))</f>
        <v/>
      </c>
      <c r="C201" s="67" t="str">
        <f aca="false">IF($L201="","",T(INDEX(Inv_Fourn,$L201)))</f>
        <v/>
      </c>
      <c r="D201" s="83" t="str">
        <f aca="false">IF($L201="","",INDEX(Inv_StatutFDS,$L201))</f>
        <v/>
      </c>
      <c r="E201" s="85" t="str">
        <f aca="false">IF($L201="","",IF(INDEX(Inv_DateFDS,$L201)=0,"—",INDEX(Inv_DateFDS,$L201)))</f>
        <v/>
      </c>
      <c r="F201" s="85" t="str">
        <f aca="false">IF($L201="","",IF(INDEX(Inv_ProchVerif,$L201)="","—",INDEX(Inv_ProchVerif,$L201)))</f>
        <v/>
      </c>
      <c r="G201" s="87" t="str">
        <f aca="true">IF($L201="","",IF(OR(F201="—",F201=""),"—",F201-TODAY()))</f>
        <v/>
      </c>
      <c r="H201" s="83" t="str">
        <f aca="false">IF($L201="","",IF(AND(OR(D201="EXPIRÉE",D201="À RENOUVELER",D201="FDS ABSENTE"),J201="—"),"OUI","—"))</f>
        <v/>
      </c>
      <c r="I201" s="85" t="str">
        <f aca="false">IF($L201="","",IF(INDEX(Inv_DemFDS,$L201)=0,"—",INDEX(Inv_DemFDS,$L201)))</f>
        <v/>
      </c>
      <c r="J201" s="85" t="str">
        <f aca="false">IF($L201="","",IF(INDEX(Inv_RecFDS,$L201)=0,"—",INDEX(Inv_RecFDS,$L201)))</f>
        <v/>
      </c>
      <c r="L201" s="0" t="str">
        <f aca="false">IF(ROW()-5&gt;NbProduits,"",MATCH(SMALL(CleFDS,ROW()-5),CleFDS,0))</f>
        <v/>
      </c>
    </row>
    <row r="202" customFormat="false" ht="15" hidden="false" customHeight="false" outlineLevel="0" collapsed="false">
      <c r="A202" s="83" t="str">
        <f aca="false">IF($L202="","",INDEX(Inv_Num,$L202))</f>
        <v/>
      </c>
      <c r="B202" s="67" t="str">
        <f aca="false">IF($L202="","",INDEX(Inv_Nom,$L202))</f>
        <v/>
      </c>
      <c r="C202" s="67" t="str">
        <f aca="false">IF($L202="","",T(INDEX(Inv_Fourn,$L202)))</f>
        <v/>
      </c>
      <c r="D202" s="83" t="str">
        <f aca="false">IF($L202="","",INDEX(Inv_StatutFDS,$L202))</f>
        <v/>
      </c>
      <c r="E202" s="85" t="str">
        <f aca="false">IF($L202="","",IF(INDEX(Inv_DateFDS,$L202)=0,"—",INDEX(Inv_DateFDS,$L202)))</f>
        <v/>
      </c>
      <c r="F202" s="85" t="str">
        <f aca="false">IF($L202="","",IF(INDEX(Inv_ProchVerif,$L202)="","—",INDEX(Inv_ProchVerif,$L202)))</f>
        <v/>
      </c>
      <c r="G202" s="87" t="str">
        <f aca="true">IF($L202="","",IF(OR(F202="—",F202=""),"—",F202-TODAY()))</f>
        <v/>
      </c>
      <c r="H202" s="83" t="str">
        <f aca="false">IF($L202="","",IF(AND(OR(D202="EXPIRÉE",D202="À RENOUVELER",D202="FDS ABSENTE"),J202="—"),"OUI","—"))</f>
        <v/>
      </c>
      <c r="I202" s="85" t="str">
        <f aca="false">IF($L202="","",IF(INDEX(Inv_DemFDS,$L202)=0,"—",INDEX(Inv_DemFDS,$L202)))</f>
        <v/>
      </c>
      <c r="J202" s="85" t="str">
        <f aca="false">IF($L202="","",IF(INDEX(Inv_RecFDS,$L202)=0,"—",INDEX(Inv_RecFDS,$L202)))</f>
        <v/>
      </c>
      <c r="L202" s="0" t="str">
        <f aca="false">IF(ROW()-5&gt;NbProduits,"",MATCH(SMALL(CleFDS,ROW()-5),CleFDS,0))</f>
        <v/>
      </c>
    </row>
    <row r="203" customFormat="false" ht="15" hidden="false" customHeight="false" outlineLevel="0" collapsed="false">
      <c r="A203" s="83" t="str">
        <f aca="false">IF($L203="","",INDEX(Inv_Num,$L203))</f>
        <v/>
      </c>
      <c r="B203" s="67" t="str">
        <f aca="false">IF($L203="","",INDEX(Inv_Nom,$L203))</f>
        <v/>
      </c>
      <c r="C203" s="67" t="str">
        <f aca="false">IF($L203="","",T(INDEX(Inv_Fourn,$L203)))</f>
        <v/>
      </c>
      <c r="D203" s="83" t="str">
        <f aca="false">IF($L203="","",INDEX(Inv_StatutFDS,$L203))</f>
        <v/>
      </c>
      <c r="E203" s="85" t="str">
        <f aca="false">IF($L203="","",IF(INDEX(Inv_DateFDS,$L203)=0,"—",INDEX(Inv_DateFDS,$L203)))</f>
        <v/>
      </c>
      <c r="F203" s="85" t="str">
        <f aca="false">IF($L203="","",IF(INDEX(Inv_ProchVerif,$L203)="","—",INDEX(Inv_ProchVerif,$L203)))</f>
        <v/>
      </c>
      <c r="G203" s="87" t="str">
        <f aca="true">IF($L203="","",IF(OR(F203="—",F203=""),"—",F203-TODAY()))</f>
        <v/>
      </c>
      <c r="H203" s="83" t="str">
        <f aca="false">IF($L203="","",IF(AND(OR(D203="EXPIRÉE",D203="À RENOUVELER",D203="FDS ABSENTE"),J203="—"),"OUI","—"))</f>
        <v/>
      </c>
      <c r="I203" s="85" t="str">
        <f aca="false">IF($L203="","",IF(INDEX(Inv_DemFDS,$L203)=0,"—",INDEX(Inv_DemFDS,$L203)))</f>
        <v/>
      </c>
      <c r="J203" s="85" t="str">
        <f aca="false">IF($L203="","",IF(INDEX(Inv_RecFDS,$L203)=0,"—",INDEX(Inv_RecFDS,$L203)))</f>
        <v/>
      </c>
      <c r="L203" s="0" t="str">
        <f aca="false">IF(ROW()-5&gt;NbProduits,"",MATCH(SMALL(CleFDS,ROW()-5),CleFDS,0))</f>
        <v/>
      </c>
    </row>
    <row r="204" customFormat="false" ht="15" hidden="false" customHeight="false" outlineLevel="0" collapsed="false">
      <c r="A204" s="83" t="str">
        <f aca="false">IF($L204="","",INDEX(Inv_Num,$L204))</f>
        <v/>
      </c>
      <c r="B204" s="67" t="str">
        <f aca="false">IF($L204="","",INDEX(Inv_Nom,$L204))</f>
        <v/>
      </c>
      <c r="C204" s="67" t="str">
        <f aca="false">IF($L204="","",T(INDEX(Inv_Fourn,$L204)))</f>
        <v/>
      </c>
      <c r="D204" s="83" t="str">
        <f aca="false">IF($L204="","",INDEX(Inv_StatutFDS,$L204))</f>
        <v/>
      </c>
      <c r="E204" s="85" t="str">
        <f aca="false">IF($L204="","",IF(INDEX(Inv_DateFDS,$L204)=0,"—",INDEX(Inv_DateFDS,$L204)))</f>
        <v/>
      </c>
      <c r="F204" s="85" t="str">
        <f aca="false">IF($L204="","",IF(INDEX(Inv_ProchVerif,$L204)="","—",INDEX(Inv_ProchVerif,$L204)))</f>
        <v/>
      </c>
      <c r="G204" s="87" t="str">
        <f aca="true">IF($L204="","",IF(OR(F204="—",F204=""),"—",F204-TODAY()))</f>
        <v/>
      </c>
      <c r="H204" s="83" t="str">
        <f aca="false">IF($L204="","",IF(AND(OR(D204="EXPIRÉE",D204="À RENOUVELER",D204="FDS ABSENTE"),J204="—"),"OUI","—"))</f>
        <v/>
      </c>
      <c r="I204" s="85" t="str">
        <f aca="false">IF($L204="","",IF(INDEX(Inv_DemFDS,$L204)=0,"—",INDEX(Inv_DemFDS,$L204)))</f>
        <v/>
      </c>
      <c r="J204" s="85" t="str">
        <f aca="false">IF($L204="","",IF(INDEX(Inv_RecFDS,$L204)=0,"—",INDEX(Inv_RecFDS,$L204)))</f>
        <v/>
      </c>
      <c r="L204" s="0" t="str">
        <f aca="false">IF(ROW()-5&gt;NbProduits,"",MATCH(SMALL(CleFDS,ROW()-5),CleFDS,0))</f>
        <v/>
      </c>
    </row>
    <row r="205" customFormat="false" ht="15" hidden="false" customHeight="false" outlineLevel="0" collapsed="false">
      <c r="A205" s="83" t="str">
        <f aca="false">IF($L205="","",INDEX(Inv_Num,$L205))</f>
        <v/>
      </c>
      <c r="B205" s="67" t="str">
        <f aca="false">IF($L205="","",INDEX(Inv_Nom,$L205))</f>
        <v/>
      </c>
      <c r="C205" s="67" t="str">
        <f aca="false">IF($L205="","",T(INDEX(Inv_Fourn,$L205)))</f>
        <v/>
      </c>
      <c r="D205" s="83" t="str">
        <f aca="false">IF($L205="","",INDEX(Inv_StatutFDS,$L205))</f>
        <v/>
      </c>
      <c r="E205" s="85" t="str">
        <f aca="false">IF($L205="","",IF(INDEX(Inv_DateFDS,$L205)=0,"—",INDEX(Inv_DateFDS,$L205)))</f>
        <v/>
      </c>
      <c r="F205" s="85" t="str">
        <f aca="false">IF($L205="","",IF(INDEX(Inv_ProchVerif,$L205)="","—",INDEX(Inv_ProchVerif,$L205)))</f>
        <v/>
      </c>
      <c r="G205" s="87" t="str">
        <f aca="true">IF($L205="","",IF(OR(F205="—",F205=""),"—",F205-TODAY()))</f>
        <v/>
      </c>
      <c r="H205" s="83" t="str">
        <f aca="false">IF($L205="","",IF(AND(OR(D205="EXPIRÉE",D205="À RENOUVELER",D205="FDS ABSENTE"),J205="—"),"OUI","—"))</f>
        <v/>
      </c>
      <c r="I205" s="85" t="str">
        <f aca="false">IF($L205="","",IF(INDEX(Inv_DemFDS,$L205)=0,"—",INDEX(Inv_DemFDS,$L205)))</f>
        <v/>
      </c>
      <c r="J205" s="85" t="str">
        <f aca="false">IF($L205="","",IF(INDEX(Inv_RecFDS,$L205)=0,"—",INDEX(Inv_RecFDS,$L205)))</f>
        <v/>
      </c>
      <c r="L205" s="0" t="str">
        <f aca="false">IF(ROW()-5&gt;NbProduits,"",MATCH(SMALL(CleFDS,ROW()-5),CleFDS,0))</f>
        <v/>
      </c>
    </row>
    <row r="206" customFormat="false" ht="15" hidden="false" customHeight="false" outlineLevel="0" collapsed="false">
      <c r="A206" s="83" t="str">
        <f aca="false">IF($L206="","",INDEX(Inv_Num,$L206))</f>
        <v/>
      </c>
      <c r="B206" s="67" t="str">
        <f aca="false">IF($L206="","",INDEX(Inv_Nom,$L206))</f>
        <v/>
      </c>
      <c r="C206" s="67" t="str">
        <f aca="false">IF($L206="","",T(INDEX(Inv_Fourn,$L206)))</f>
        <v/>
      </c>
      <c r="D206" s="83" t="str">
        <f aca="false">IF($L206="","",INDEX(Inv_StatutFDS,$L206))</f>
        <v/>
      </c>
      <c r="E206" s="85" t="str">
        <f aca="false">IF($L206="","",IF(INDEX(Inv_DateFDS,$L206)=0,"—",INDEX(Inv_DateFDS,$L206)))</f>
        <v/>
      </c>
      <c r="F206" s="85" t="str">
        <f aca="false">IF($L206="","",IF(INDEX(Inv_ProchVerif,$L206)="","—",INDEX(Inv_ProchVerif,$L206)))</f>
        <v/>
      </c>
      <c r="G206" s="87" t="str">
        <f aca="true">IF($L206="","",IF(OR(F206="—",F206=""),"—",F206-TODAY()))</f>
        <v/>
      </c>
      <c r="H206" s="83" t="str">
        <f aca="false">IF($L206="","",IF(AND(OR(D206="EXPIRÉE",D206="À RENOUVELER",D206="FDS ABSENTE"),J206="—"),"OUI","—"))</f>
        <v/>
      </c>
      <c r="I206" s="85" t="str">
        <f aca="false">IF($L206="","",IF(INDEX(Inv_DemFDS,$L206)=0,"—",INDEX(Inv_DemFDS,$L206)))</f>
        <v/>
      </c>
      <c r="J206" s="85" t="str">
        <f aca="false">IF($L206="","",IF(INDEX(Inv_RecFDS,$L206)=0,"—",INDEX(Inv_RecFDS,$L206)))</f>
        <v/>
      </c>
      <c r="L206" s="0" t="str">
        <f aca="false">IF(ROW()-5&gt;NbProduits,"",MATCH(SMALL(CleFDS,ROW()-5),CleFDS,0))</f>
        <v/>
      </c>
    </row>
    <row r="207" customFormat="false" ht="15" hidden="false" customHeight="false" outlineLevel="0" collapsed="false">
      <c r="A207" s="83" t="str">
        <f aca="false">IF($L207="","",INDEX(Inv_Num,$L207))</f>
        <v/>
      </c>
      <c r="B207" s="67" t="str">
        <f aca="false">IF($L207="","",INDEX(Inv_Nom,$L207))</f>
        <v/>
      </c>
      <c r="C207" s="67" t="str">
        <f aca="false">IF($L207="","",T(INDEX(Inv_Fourn,$L207)))</f>
        <v/>
      </c>
      <c r="D207" s="83" t="str">
        <f aca="false">IF($L207="","",INDEX(Inv_StatutFDS,$L207))</f>
        <v/>
      </c>
      <c r="E207" s="85" t="str">
        <f aca="false">IF($L207="","",IF(INDEX(Inv_DateFDS,$L207)=0,"—",INDEX(Inv_DateFDS,$L207)))</f>
        <v/>
      </c>
      <c r="F207" s="85" t="str">
        <f aca="false">IF($L207="","",IF(INDEX(Inv_ProchVerif,$L207)="","—",INDEX(Inv_ProchVerif,$L207)))</f>
        <v/>
      </c>
      <c r="G207" s="87" t="str">
        <f aca="true">IF($L207="","",IF(OR(F207="—",F207=""),"—",F207-TODAY()))</f>
        <v/>
      </c>
      <c r="H207" s="83" t="str">
        <f aca="false">IF($L207="","",IF(AND(OR(D207="EXPIRÉE",D207="À RENOUVELER",D207="FDS ABSENTE"),J207="—"),"OUI","—"))</f>
        <v/>
      </c>
      <c r="I207" s="85" t="str">
        <f aca="false">IF($L207="","",IF(INDEX(Inv_DemFDS,$L207)=0,"—",INDEX(Inv_DemFDS,$L207)))</f>
        <v/>
      </c>
      <c r="J207" s="85" t="str">
        <f aca="false">IF($L207="","",IF(INDEX(Inv_RecFDS,$L207)=0,"—",INDEX(Inv_RecFDS,$L207)))</f>
        <v/>
      </c>
      <c r="L207" s="0" t="str">
        <f aca="false">IF(ROW()-5&gt;NbProduits,"",MATCH(SMALL(CleFDS,ROW()-5),CleFDS,0))</f>
        <v/>
      </c>
    </row>
    <row r="208" customFormat="false" ht="15" hidden="false" customHeight="false" outlineLevel="0" collapsed="false">
      <c r="A208" s="83" t="str">
        <f aca="false">IF($L208="","",INDEX(Inv_Num,$L208))</f>
        <v/>
      </c>
      <c r="B208" s="67" t="str">
        <f aca="false">IF($L208="","",INDEX(Inv_Nom,$L208))</f>
        <v/>
      </c>
      <c r="C208" s="67" t="str">
        <f aca="false">IF($L208="","",T(INDEX(Inv_Fourn,$L208)))</f>
        <v/>
      </c>
      <c r="D208" s="83" t="str">
        <f aca="false">IF($L208="","",INDEX(Inv_StatutFDS,$L208))</f>
        <v/>
      </c>
      <c r="E208" s="85" t="str">
        <f aca="false">IF($L208="","",IF(INDEX(Inv_DateFDS,$L208)=0,"—",INDEX(Inv_DateFDS,$L208)))</f>
        <v/>
      </c>
      <c r="F208" s="85" t="str">
        <f aca="false">IF($L208="","",IF(INDEX(Inv_ProchVerif,$L208)="","—",INDEX(Inv_ProchVerif,$L208)))</f>
        <v/>
      </c>
      <c r="G208" s="87" t="str">
        <f aca="true">IF($L208="","",IF(OR(F208="—",F208=""),"—",F208-TODAY()))</f>
        <v/>
      </c>
      <c r="H208" s="83" t="str">
        <f aca="false">IF($L208="","",IF(AND(OR(D208="EXPIRÉE",D208="À RENOUVELER",D208="FDS ABSENTE"),J208="—"),"OUI","—"))</f>
        <v/>
      </c>
      <c r="I208" s="85" t="str">
        <f aca="false">IF($L208="","",IF(INDEX(Inv_DemFDS,$L208)=0,"—",INDEX(Inv_DemFDS,$L208)))</f>
        <v/>
      </c>
      <c r="J208" s="85" t="str">
        <f aca="false">IF($L208="","",IF(INDEX(Inv_RecFDS,$L208)=0,"—",INDEX(Inv_RecFDS,$L208)))</f>
        <v/>
      </c>
      <c r="L208" s="0" t="str">
        <f aca="false">IF(ROW()-5&gt;NbProduits,"",MATCH(SMALL(CleFDS,ROW()-5),CleFDS,0))</f>
        <v/>
      </c>
    </row>
    <row r="209" customFormat="false" ht="15" hidden="false" customHeight="false" outlineLevel="0" collapsed="false">
      <c r="A209" s="83" t="str">
        <f aca="false">IF($L209="","",INDEX(Inv_Num,$L209))</f>
        <v/>
      </c>
      <c r="B209" s="67" t="str">
        <f aca="false">IF($L209="","",INDEX(Inv_Nom,$L209))</f>
        <v/>
      </c>
      <c r="C209" s="67" t="str">
        <f aca="false">IF($L209="","",T(INDEX(Inv_Fourn,$L209)))</f>
        <v/>
      </c>
      <c r="D209" s="83" t="str">
        <f aca="false">IF($L209="","",INDEX(Inv_StatutFDS,$L209))</f>
        <v/>
      </c>
      <c r="E209" s="85" t="str">
        <f aca="false">IF($L209="","",IF(INDEX(Inv_DateFDS,$L209)=0,"—",INDEX(Inv_DateFDS,$L209)))</f>
        <v/>
      </c>
      <c r="F209" s="85" t="str">
        <f aca="false">IF($L209="","",IF(INDEX(Inv_ProchVerif,$L209)="","—",INDEX(Inv_ProchVerif,$L209)))</f>
        <v/>
      </c>
      <c r="G209" s="87" t="str">
        <f aca="true">IF($L209="","",IF(OR(F209="—",F209=""),"—",F209-TODAY()))</f>
        <v/>
      </c>
      <c r="H209" s="83" t="str">
        <f aca="false">IF($L209="","",IF(AND(OR(D209="EXPIRÉE",D209="À RENOUVELER",D209="FDS ABSENTE"),J209="—"),"OUI","—"))</f>
        <v/>
      </c>
      <c r="I209" s="85" t="str">
        <f aca="false">IF($L209="","",IF(INDEX(Inv_DemFDS,$L209)=0,"—",INDEX(Inv_DemFDS,$L209)))</f>
        <v/>
      </c>
      <c r="J209" s="85" t="str">
        <f aca="false">IF($L209="","",IF(INDEX(Inv_RecFDS,$L209)=0,"—",INDEX(Inv_RecFDS,$L209)))</f>
        <v/>
      </c>
      <c r="L209" s="0" t="str">
        <f aca="false">IF(ROW()-5&gt;NbProduits,"",MATCH(SMALL(CleFDS,ROW()-5),CleFDS,0))</f>
        <v/>
      </c>
    </row>
    <row r="210" customFormat="false" ht="15" hidden="false" customHeight="false" outlineLevel="0" collapsed="false">
      <c r="A210" s="83" t="str">
        <f aca="false">IF($L210="","",INDEX(Inv_Num,$L210))</f>
        <v/>
      </c>
      <c r="B210" s="67" t="str">
        <f aca="false">IF($L210="","",INDEX(Inv_Nom,$L210))</f>
        <v/>
      </c>
      <c r="C210" s="67" t="str">
        <f aca="false">IF($L210="","",T(INDEX(Inv_Fourn,$L210)))</f>
        <v/>
      </c>
      <c r="D210" s="83" t="str">
        <f aca="false">IF($L210="","",INDEX(Inv_StatutFDS,$L210))</f>
        <v/>
      </c>
      <c r="E210" s="85" t="str">
        <f aca="false">IF($L210="","",IF(INDEX(Inv_DateFDS,$L210)=0,"—",INDEX(Inv_DateFDS,$L210)))</f>
        <v/>
      </c>
      <c r="F210" s="85" t="str">
        <f aca="false">IF($L210="","",IF(INDEX(Inv_ProchVerif,$L210)="","—",INDEX(Inv_ProchVerif,$L210)))</f>
        <v/>
      </c>
      <c r="G210" s="87" t="str">
        <f aca="true">IF($L210="","",IF(OR(F210="—",F210=""),"—",F210-TODAY()))</f>
        <v/>
      </c>
      <c r="H210" s="83" t="str">
        <f aca="false">IF($L210="","",IF(AND(OR(D210="EXPIRÉE",D210="À RENOUVELER",D210="FDS ABSENTE"),J210="—"),"OUI","—"))</f>
        <v/>
      </c>
      <c r="I210" s="85" t="str">
        <f aca="false">IF($L210="","",IF(INDEX(Inv_DemFDS,$L210)=0,"—",INDEX(Inv_DemFDS,$L210)))</f>
        <v/>
      </c>
      <c r="J210" s="85" t="str">
        <f aca="false">IF($L210="","",IF(INDEX(Inv_RecFDS,$L210)=0,"—",INDEX(Inv_RecFDS,$L210)))</f>
        <v/>
      </c>
      <c r="L210" s="0" t="str">
        <f aca="false">IF(ROW()-5&gt;NbProduits,"",MATCH(SMALL(CleFDS,ROW()-5),CleFDS,0))</f>
        <v/>
      </c>
    </row>
    <row r="211" customFormat="false" ht="15" hidden="false" customHeight="false" outlineLevel="0" collapsed="false">
      <c r="A211" s="83" t="str">
        <f aca="false">IF($L211="","",INDEX(Inv_Num,$L211))</f>
        <v/>
      </c>
      <c r="B211" s="67" t="str">
        <f aca="false">IF($L211="","",INDEX(Inv_Nom,$L211))</f>
        <v/>
      </c>
      <c r="C211" s="67" t="str">
        <f aca="false">IF($L211="","",T(INDEX(Inv_Fourn,$L211)))</f>
        <v/>
      </c>
      <c r="D211" s="83" t="str">
        <f aca="false">IF($L211="","",INDEX(Inv_StatutFDS,$L211))</f>
        <v/>
      </c>
      <c r="E211" s="85" t="str">
        <f aca="false">IF($L211="","",IF(INDEX(Inv_DateFDS,$L211)=0,"—",INDEX(Inv_DateFDS,$L211)))</f>
        <v/>
      </c>
      <c r="F211" s="85" t="str">
        <f aca="false">IF($L211="","",IF(INDEX(Inv_ProchVerif,$L211)="","—",INDEX(Inv_ProchVerif,$L211)))</f>
        <v/>
      </c>
      <c r="G211" s="87" t="str">
        <f aca="true">IF($L211="","",IF(OR(F211="—",F211=""),"—",F211-TODAY()))</f>
        <v/>
      </c>
      <c r="H211" s="83" t="str">
        <f aca="false">IF($L211="","",IF(AND(OR(D211="EXPIRÉE",D211="À RENOUVELER",D211="FDS ABSENTE"),J211="—"),"OUI","—"))</f>
        <v/>
      </c>
      <c r="I211" s="85" t="str">
        <f aca="false">IF($L211="","",IF(INDEX(Inv_DemFDS,$L211)=0,"—",INDEX(Inv_DemFDS,$L211)))</f>
        <v/>
      </c>
      <c r="J211" s="85" t="str">
        <f aca="false">IF($L211="","",IF(INDEX(Inv_RecFDS,$L211)=0,"—",INDEX(Inv_RecFDS,$L211)))</f>
        <v/>
      </c>
      <c r="L211" s="0" t="str">
        <f aca="false">IF(ROW()-5&gt;NbProduits,"",MATCH(SMALL(CleFDS,ROW()-5),CleFDS,0))</f>
        <v/>
      </c>
    </row>
    <row r="212" customFormat="false" ht="15" hidden="false" customHeight="false" outlineLevel="0" collapsed="false">
      <c r="A212" s="83" t="str">
        <f aca="false">IF($L212="","",INDEX(Inv_Num,$L212))</f>
        <v/>
      </c>
      <c r="B212" s="67" t="str">
        <f aca="false">IF($L212="","",INDEX(Inv_Nom,$L212))</f>
        <v/>
      </c>
      <c r="C212" s="67" t="str">
        <f aca="false">IF($L212="","",T(INDEX(Inv_Fourn,$L212)))</f>
        <v/>
      </c>
      <c r="D212" s="83" t="str">
        <f aca="false">IF($L212="","",INDEX(Inv_StatutFDS,$L212))</f>
        <v/>
      </c>
      <c r="E212" s="85" t="str">
        <f aca="false">IF($L212="","",IF(INDEX(Inv_DateFDS,$L212)=0,"—",INDEX(Inv_DateFDS,$L212)))</f>
        <v/>
      </c>
      <c r="F212" s="85" t="str">
        <f aca="false">IF($L212="","",IF(INDEX(Inv_ProchVerif,$L212)="","—",INDEX(Inv_ProchVerif,$L212)))</f>
        <v/>
      </c>
      <c r="G212" s="87" t="str">
        <f aca="true">IF($L212="","",IF(OR(F212="—",F212=""),"—",F212-TODAY()))</f>
        <v/>
      </c>
      <c r="H212" s="83" t="str">
        <f aca="false">IF($L212="","",IF(AND(OR(D212="EXPIRÉE",D212="À RENOUVELER",D212="FDS ABSENTE"),J212="—"),"OUI","—"))</f>
        <v/>
      </c>
      <c r="I212" s="85" t="str">
        <f aca="false">IF($L212="","",IF(INDEX(Inv_DemFDS,$L212)=0,"—",INDEX(Inv_DemFDS,$L212)))</f>
        <v/>
      </c>
      <c r="J212" s="85" t="str">
        <f aca="false">IF($L212="","",IF(INDEX(Inv_RecFDS,$L212)=0,"—",INDEX(Inv_RecFDS,$L212)))</f>
        <v/>
      </c>
      <c r="L212" s="0" t="str">
        <f aca="false">IF(ROW()-5&gt;NbProduits,"",MATCH(SMALL(CleFDS,ROW()-5),CleFDS,0))</f>
        <v/>
      </c>
    </row>
    <row r="213" customFormat="false" ht="15" hidden="false" customHeight="false" outlineLevel="0" collapsed="false">
      <c r="A213" s="83" t="str">
        <f aca="false">IF($L213="","",INDEX(Inv_Num,$L213))</f>
        <v/>
      </c>
      <c r="B213" s="67" t="str">
        <f aca="false">IF($L213="","",INDEX(Inv_Nom,$L213))</f>
        <v/>
      </c>
      <c r="C213" s="67" t="str">
        <f aca="false">IF($L213="","",T(INDEX(Inv_Fourn,$L213)))</f>
        <v/>
      </c>
      <c r="D213" s="83" t="str">
        <f aca="false">IF($L213="","",INDEX(Inv_StatutFDS,$L213))</f>
        <v/>
      </c>
      <c r="E213" s="85" t="str">
        <f aca="false">IF($L213="","",IF(INDEX(Inv_DateFDS,$L213)=0,"—",INDEX(Inv_DateFDS,$L213)))</f>
        <v/>
      </c>
      <c r="F213" s="85" t="str">
        <f aca="false">IF($L213="","",IF(INDEX(Inv_ProchVerif,$L213)="","—",INDEX(Inv_ProchVerif,$L213)))</f>
        <v/>
      </c>
      <c r="G213" s="87" t="str">
        <f aca="true">IF($L213="","",IF(OR(F213="—",F213=""),"—",F213-TODAY()))</f>
        <v/>
      </c>
      <c r="H213" s="83" t="str">
        <f aca="false">IF($L213="","",IF(AND(OR(D213="EXPIRÉE",D213="À RENOUVELER",D213="FDS ABSENTE"),J213="—"),"OUI","—"))</f>
        <v/>
      </c>
      <c r="I213" s="85" t="str">
        <f aca="false">IF($L213="","",IF(INDEX(Inv_DemFDS,$L213)=0,"—",INDEX(Inv_DemFDS,$L213)))</f>
        <v/>
      </c>
      <c r="J213" s="85" t="str">
        <f aca="false">IF($L213="","",IF(INDEX(Inv_RecFDS,$L213)=0,"—",INDEX(Inv_RecFDS,$L213)))</f>
        <v/>
      </c>
      <c r="L213" s="0" t="str">
        <f aca="false">IF(ROW()-5&gt;NbProduits,"",MATCH(SMALL(CleFDS,ROW()-5),CleFDS,0))</f>
        <v/>
      </c>
    </row>
    <row r="214" customFormat="false" ht="15" hidden="false" customHeight="false" outlineLevel="0" collapsed="false">
      <c r="A214" s="83" t="str">
        <f aca="false">IF($L214="","",INDEX(Inv_Num,$L214))</f>
        <v/>
      </c>
      <c r="B214" s="67" t="str">
        <f aca="false">IF($L214="","",INDEX(Inv_Nom,$L214))</f>
        <v/>
      </c>
      <c r="C214" s="67" t="str">
        <f aca="false">IF($L214="","",T(INDEX(Inv_Fourn,$L214)))</f>
        <v/>
      </c>
      <c r="D214" s="83" t="str">
        <f aca="false">IF($L214="","",INDEX(Inv_StatutFDS,$L214))</f>
        <v/>
      </c>
      <c r="E214" s="85" t="str">
        <f aca="false">IF($L214="","",IF(INDEX(Inv_DateFDS,$L214)=0,"—",INDEX(Inv_DateFDS,$L214)))</f>
        <v/>
      </c>
      <c r="F214" s="85" t="str">
        <f aca="false">IF($L214="","",IF(INDEX(Inv_ProchVerif,$L214)="","—",INDEX(Inv_ProchVerif,$L214)))</f>
        <v/>
      </c>
      <c r="G214" s="87" t="str">
        <f aca="true">IF($L214="","",IF(OR(F214="—",F214=""),"—",F214-TODAY()))</f>
        <v/>
      </c>
      <c r="H214" s="83" t="str">
        <f aca="false">IF($L214="","",IF(AND(OR(D214="EXPIRÉE",D214="À RENOUVELER",D214="FDS ABSENTE"),J214="—"),"OUI","—"))</f>
        <v/>
      </c>
      <c r="I214" s="85" t="str">
        <f aca="false">IF($L214="","",IF(INDEX(Inv_DemFDS,$L214)=0,"—",INDEX(Inv_DemFDS,$L214)))</f>
        <v/>
      </c>
      <c r="J214" s="85" t="str">
        <f aca="false">IF($L214="","",IF(INDEX(Inv_RecFDS,$L214)=0,"—",INDEX(Inv_RecFDS,$L214)))</f>
        <v/>
      </c>
      <c r="L214" s="0" t="str">
        <f aca="false">IF(ROW()-5&gt;NbProduits,"",MATCH(SMALL(CleFDS,ROW()-5),CleFDS,0))</f>
        <v/>
      </c>
    </row>
    <row r="215" customFormat="false" ht="15" hidden="false" customHeight="false" outlineLevel="0" collapsed="false">
      <c r="A215" s="83" t="str">
        <f aca="false">IF($L215="","",INDEX(Inv_Num,$L215))</f>
        <v/>
      </c>
      <c r="B215" s="67" t="str">
        <f aca="false">IF($L215="","",INDEX(Inv_Nom,$L215))</f>
        <v/>
      </c>
      <c r="C215" s="67" t="str">
        <f aca="false">IF($L215="","",T(INDEX(Inv_Fourn,$L215)))</f>
        <v/>
      </c>
      <c r="D215" s="83" t="str">
        <f aca="false">IF($L215="","",INDEX(Inv_StatutFDS,$L215))</f>
        <v/>
      </c>
      <c r="E215" s="85" t="str">
        <f aca="false">IF($L215="","",IF(INDEX(Inv_DateFDS,$L215)=0,"—",INDEX(Inv_DateFDS,$L215)))</f>
        <v/>
      </c>
      <c r="F215" s="85" t="str">
        <f aca="false">IF($L215="","",IF(INDEX(Inv_ProchVerif,$L215)="","—",INDEX(Inv_ProchVerif,$L215)))</f>
        <v/>
      </c>
      <c r="G215" s="87" t="str">
        <f aca="true">IF($L215="","",IF(OR(F215="—",F215=""),"—",F215-TODAY()))</f>
        <v/>
      </c>
      <c r="H215" s="83" t="str">
        <f aca="false">IF($L215="","",IF(AND(OR(D215="EXPIRÉE",D215="À RENOUVELER",D215="FDS ABSENTE"),J215="—"),"OUI","—"))</f>
        <v/>
      </c>
      <c r="I215" s="85" t="str">
        <f aca="false">IF($L215="","",IF(INDEX(Inv_DemFDS,$L215)=0,"—",INDEX(Inv_DemFDS,$L215)))</f>
        <v/>
      </c>
      <c r="J215" s="85" t="str">
        <f aca="false">IF($L215="","",IF(INDEX(Inv_RecFDS,$L215)=0,"—",INDEX(Inv_RecFDS,$L215)))</f>
        <v/>
      </c>
      <c r="L215" s="0" t="str">
        <f aca="false">IF(ROW()-5&gt;NbProduits,"",MATCH(SMALL(CleFDS,ROW()-5),CleFDS,0))</f>
        <v/>
      </c>
    </row>
    <row r="216" customFormat="false" ht="15" hidden="false" customHeight="false" outlineLevel="0" collapsed="false">
      <c r="A216" s="83" t="str">
        <f aca="false">IF($L216="","",INDEX(Inv_Num,$L216))</f>
        <v/>
      </c>
      <c r="B216" s="67" t="str">
        <f aca="false">IF($L216="","",INDEX(Inv_Nom,$L216))</f>
        <v/>
      </c>
      <c r="C216" s="67" t="str">
        <f aca="false">IF($L216="","",T(INDEX(Inv_Fourn,$L216)))</f>
        <v/>
      </c>
      <c r="D216" s="83" t="str">
        <f aca="false">IF($L216="","",INDEX(Inv_StatutFDS,$L216))</f>
        <v/>
      </c>
      <c r="E216" s="85" t="str">
        <f aca="false">IF($L216="","",IF(INDEX(Inv_DateFDS,$L216)=0,"—",INDEX(Inv_DateFDS,$L216)))</f>
        <v/>
      </c>
      <c r="F216" s="85" t="str">
        <f aca="false">IF($L216="","",IF(INDEX(Inv_ProchVerif,$L216)="","—",INDEX(Inv_ProchVerif,$L216)))</f>
        <v/>
      </c>
      <c r="G216" s="87" t="str">
        <f aca="true">IF($L216="","",IF(OR(F216="—",F216=""),"—",F216-TODAY()))</f>
        <v/>
      </c>
      <c r="H216" s="83" t="str">
        <f aca="false">IF($L216="","",IF(AND(OR(D216="EXPIRÉE",D216="À RENOUVELER",D216="FDS ABSENTE"),J216="—"),"OUI","—"))</f>
        <v/>
      </c>
      <c r="I216" s="85" t="str">
        <f aca="false">IF($L216="","",IF(INDEX(Inv_DemFDS,$L216)=0,"—",INDEX(Inv_DemFDS,$L216)))</f>
        <v/>
      </c>
      <c r="J216" s="85" t="str">
        <f aca="false">IF($L216="","",IF(INDEX(Inv_RecFDS,$L216)=0,"—",INDEX(Inv_RecFDS,$L216)))</f>
        <v/>
      </c>
      <c r="L216" s="0" t="str">
        <f aca="false">IF(ROW()-5&gt;NbProduits,"",MATCH(SMALL(CleFDS,ROW()-5),CleFDS,0))</f>
        <v/>
      </c>
    </row>
    <row r="217" customFormat="false" ht="15" hidden="false" customHeight="false" outlineLevel="0" collapsed="false">
      <c r="A217" s="83" t="str">
        <f aca="false">IF($L217="","",INDEX(Inv_Num,$L217))</f>
        <v/>
      </c>
      <c r="B217" s="67" t="str">
        <f aca="false">IF($L217="","",INDEX(Inv_Nom,$L217))</f>
        <v/>
      </c>
      <c r="C217" s="67" t="str">
        <f aca="false">IF($L217="","",T(INDEX(Inv_Fourn,$L217)))</f>
        <v/>
      </c>
      <c r="D217" s="83" t="str">
        <f aca="false">IF($L217="","",INDEX(Inv_StatutFDS,$L217))</f>
        <v/>
      </c>
      <c r="E217" s="85" t="str">
        <f aca="false">IF($L217="","",IF(INDEX(Inv_DateFDS,$L217)=0,"—",INDEX(Inv_DateFDS,$L217)))</f>
        <v/>
      </c>
      <c r="F217" s="85" t="str">
        <f aca="false">IF($L217="","",IF(INDEX(Inv_ProchVerif,$L217)="","—",INDEX(Inv_ProchVerif,$L217)))</f>
        <v/>
      </c>
      <c r="G217" s="87" t="str">
        <f aca="true">IF($L217="","",IF(OR(F217="—",F217=""),"—",F217-TODAY()))</f>
        <v/>
      </c>
      <c r="H217" s="83" t="str">
        <f aca="false">IF($L217="","",IF(AND(OR(D217="EXPIRÉE",D217="À RENOUVELER",D217="FDS ABSENTE"),J217="—"),"OUI","—"))</f>
        <v/>
      </c>
      <c r="I217" s="85" t="str">
        <f aca="false">IF($L217="","",IF(INDEX(Inv_DemFDS,$L217)=0,"—",INDEX(Inv_DemFDS,$L217)))</f>
        <v/>
      </c>
      <c r="J217" s="85" t="str">
        <f aca="false">IF($L217="","",IF(INDEX(Inv_RecFDS,$L217)=0,"—",INDEX(Inv_RecFDS,$L217)))</f>
        <v/>
      </c>
      <c r="L217" s="0" t="str">
        <f aca="false">IF(ROW()-5&gt;NbProduits,"",MATCH(SMALL(CleFDS,ROW()-5),CleFDS,0))</f>
        <v/>
      </c>
    </row>
    <row r="218" customFormat="false" ht="15" hidden="false" customHeight="false" outlineLevel="0" collapsed="false">
      <c r="A218" s="83" t="str">
        <f aca="false">IF($L218="","",INDEX(Inv_Num,$L218))</f>
        <v/>
      </c>
      <c r="B218" s="67" t="str">
        <f aca="false">IF($L218="","",INDEX(Inv_Nom,$L218))</f>
        <v/>
      </c>
      <c r="C218" s="67" t="str">
        <f aca="false">IF($L218="","",T(INDEX(Inv_Fourn,$L218)))</f>
        <v/>
      </c>
      <c r="D218" s="83" t="str">
        <f aca="false">IF($L218="","",INDEX(Inv_StatutFDS,$L218))</f>
        <v/>
      </c>
      <c r="E218" s="85" t="str">
        <f aca="false">IF($L218="","",IF(INDEX(Inv_DateFDS,$L218)=0,"—",INDEX(Inv_DateFDS,$L218)))</f>
        <v/>
      </c>
      <c r="F218" s="85" t="str">
        <f aca="false">IF($L218="","",IF(INDEX(Inv_ProchVerif,$L218)="","—",INDEX(Inv_ProchVerif,$L218)))</f>
        <v/>
      </c>
      <c r="G218" s="87" t="str">
        <f aca="true">IF($L218="","",IF(OR(F218="—",F218=""),"—",F218-TODAY()))</f>
        <v/>
      </c>
      <c r="H218" s="83" t="str">
        <f aca="false">IF($L218="","",IF(AND(OR(D218="EXPIRÉE",D218="À RENOUVELER",D218="FDS ABSENTE"),J218="—"),"OUI","—"))</f>
        <v/>
      </c>
      <c r="I218" s="85" t="str">
        <f aca="false">IF($L218="","",IF(INDEX(Inv_DemFDS,$L218)=0,"—",INDEX(Inv_DemFDS,$L218)))</f>
        <v/>
      </c>
      <c r="J218" s="85" t="str">
        <f aca="false">IF($L218="","",IF(INDEX(Inv_RecFDS,$L218)=0,"—",INDEX(Inv_RecFDS,$L218)))</f>
        <v/>
      </c>
      <c r="L218" s="0" t="str">
        <f aca="false">IF(ROW()-5&gt;NbProduits,"",MATCH(SMALL(CleFDS,ROW()-5),CleFDS,0))</f>
        <v/>
      </c>
    </row>
    <row r="219" customFormat="false" ht="15" hidden="false" customHeight="false" outlineLevel="0" collapsed="false">
      <c r="A219" s="83" t="str">
        <f aca="false">IF($L219="","",INDEX(Inv_Num,$L219))</f>
        <v/>
      </c>
      <c r="B219" s="67" t="str">
        <f aca="false">IF($L219="","",INDEX(Inv_Nom,$L219))</f>
        <v/>
      </c>
      <c r="C219" s="67" t="str">
        <f aca="false">IF($L219="","",T(INDEX(Inv_Fourn,$L219)))</f>
        <v/>
      </c>
      <c r="D219" s="83" t="str">
        <f aca="false">IF($L219="","",INDEX(Inv_StatutFDS,$L219))</f>
        <v/>
      </c>
      <c r="E219" s="85" t="str">
        <f aca="false">IF($L219="","",IF(INDEX(Inv_DateFDS,$L219)=0,"—",INDEX(Inv_DateFDS,$L219)))</f>
        <v/>
      </c>
      <c r="F219" s="85" t="str">
        <f aca="false">IF($L219="","",IF(INDEX(Inv_ProchVerif,$L219)="","—",INDEX(Inv_ProchVerif,$L219)))</f>
        <v/>
      </c>
      <c r="G219" s="87" t="str">
        <f aca="true">IF($L219="","",IF(OR(F219="—",F219=""),"—",F219-TODAY()))</f>
        <v/>
      </c>
      <c r="H219" s="83" t="str">
        <f aca="false">IF($L219="","",IF(AND(OR(D219="EXPIRÉE",D219="À RENOUVELER",D219="FDS ABSENTE"),J219="—"),"OUI","—"))</f>
        <v/>
      </c>
      <c r="I219" s="85" t="str">
        <f aca="false">IF($L219="","",IF(INDEX(Inv_DemFDS,$L219)=0,"—",INDEX(Inv_DemFDS,$L219)))</f>
        <v/>
      </c>
      <c r="J219" s="85" t="str">
        <f aca="false">IF($L219="","",IF(INDEX(Inv_RecFDS,$L219)=0,"—",INDEX(Inv_RecFDS,$L219)))</f>
        <v/>
      </c>
      <c r="L219" s="0" t="str">
        <f aca="false">IF(ROW()-5&gt;NbProduits,"",MATCH(SMALL(CleFDS,ROW()-5),CleFDS,0))</f>
        <v/>
      </c>
    </row>
    <row r="220" customFormat="false" ht="15" hidden="false" customHeight="false" outlineLevel="0" collapsed="false">
      <c r="A220" s="83" t="str">
        <f aca="false">IF($L220="","",INDEX(Inv_Num,$L220))</f>
        <v/>
      </c>
      <c r="B220" s="67" t="str">
        <f aca="false">IF($L220="","",INDEX(Inv_Nom,$L220))</f>
        <v/>
      </c>
      <c r="C220" s="67" t="str">
        <f aca="false">IF($L220="","",T(INDEX(Inv_Fourn,$L220)))</f>
        <v/>
      </c>
      <c r="D220" s="83" t="str">
        <f aca="false">IF($L220="","",INDEX(Inv_StatutFDS,$L220))</f>
        <v/>
      </c>
      <c r="E220" s="85" t="str">
        <f aca="false">IF($L220="","",IF(INDEX(Inv_DateFDS,$L220)=0,"—",INDEX(Inv_DateFDS,$L220)))</f>
        <v/>
      </c>
      <c r="F220" s="85" t="str">
        <f aca="false">IF($L220="","",IF(INDEX(Inv_ProchVerif,$L220)="","—",INDEX(Inv_ProchVerif,$L220)))</f>
        <v/>
      </c>
      <c r="G220" s="87" t="str">
        <f aca="true">IF($L220="","",IF(OR(F220="—",F220=""),"—",F220-TODAY()))</f>
        <v/>
      </c>
      <c r="H220" s="83" t="str">
        <f aca="false">IF($L220="","",IF(AND(OR(D220="EXPIRÉE",D220="À RENOUVELER",D220="FDS ABSENTE"),J220="—"),"OUI","—"))</f>
        <v/>
      </c>
      <c r="I220" s="85" t="str">
        <f aca="false">IF($L220="","",IF(INDEX(Inv_DemFDS,$L220)=0,"—",INDEX(Inv_DemFDS,$L220)))</f>
        <v/>
      </c>
      <c r="J220" s="85" t="str">
        <f aca="false">IF($L220="","",IF(INDEX(Inv_RecFDS,$L220)=0,"—",INDEX(Inv_RecFDS,$L220)))</f>
        <v/>
      </c>
      <c r="L220" s="0" t="str">
        <f aca="false">IF(ROW()-5&gt;NbProduits,"",MATCH(SMALL(CleFDS,ROW()-5),CleFDS,0))</f>
        <v/>
      </c>
    </row>
    <row r="221" customFormat="false" ht="15" hidden="false" customHeight="false" outlineLevel="0" collapsed="false">
      <c r="A221" s="83" t="str">
        <f aca="false">IF($L221="","",INDEX(Inv_Num,$L221))</f>
        <v/>
      </c>
      <c r="B221" s="67" t="str">
        <f aca="false">IF($L221="","",INDEX(Inv_Nom,$L221))</f>
        <v/>
      </c>
      <c r="C221" s="67" t="str">
        <f aca="false">IF($L221="","",T(INDEX(Inv_Fourn,$L221)))</f>
        <v/>
      </c>
      <c r="D221" s="83" t="str">
        <f aca="false">IF($L221="","",INDEX(Inv_StatutFDS,$L221))</f>
        <v/>
      </c>
      <c r="E221" s="85" t="str">
        <f aca="false">IF($L221="","",IF(INDEX(Inv_DateFDS,$L221)=0,"—",INDEX(Inv_DateFDS,$L221)))</f>
        <v/>
      </c>
      <c r="F221" s="85" t="str">
        <f aca="false">IF($L221="","",IF(INDEX(Inv_ProchVerif,$L221)="","—",INDEX(Inv_ProchVerif,$L221)))</f>
        <v/>
      </c>
      <c r="G221" s="87" t="str">
        <f aca="true">IF($L221="","",IF(OR(F221="—",F221=""),"—",F221-TODAY()))</f>
        <v/>
      </c>
      <c r="H221" s="83" t="str">
        <f aca="false">IF($L221="","",IF(AND(OR(D221="EXPIRÉE",D221="À RENOUVELER",D221="FDS ABSENTE"),J221="—"),"OUI","—"))</f>
        <v/>
      </c>
      <c r="I221" s="85" t="str">
        <f aca="false">IF($L221="","",IF(INDEX(Inv_DemFDS,$L221)=0,"—",INDEX(Inv_DemFDS,$L221)))</f>
        <v/>
      </c>
      <c r="J221" s="85" t="str">
        <f aca="false">IF($L221="","",IF(INDEX(Inv_RecFDS,$L221)=0,"—",INDEX(Inv_RecFDS,$L221)))</f>
        <v/>
      </c>
      <c r="L221" s="0" t="str">
        <f aca="false">IF(ROW()-5&gt;NbProduits,"",MATCH(SMALL(CleFDS,ROW()-5),CleFDS,0))</f>
        <v/>
      </c>
    </row>
    <row r="222" customFormat="false" ht="15" hidden="false" customHeight="false" outlineLevel="0" collapsed="false">
      <c r="A222" s="83" t="str">
        <f aca="false">IF($L222="","",INDEX(Inv_Num,$L222))</f>
        <v/>
      </c>
      <c r="B222" s="67" t="str">
        <f aca="false">IF($L222="","",INDEX(Inv_Nom,$L222))</f>
        <v/>
      </c>
      <c r="C222" s="67" t="str">
        <f aca="false">IF($L222="","",T(INDEX(Inv_Fourn,$L222)))</f>
        <v/>
      </c>
      <c r="D222" s="83" t="str">
        <f aca="false">IF($L222="","",INDEX(Inv_StatutFDS,$L222))</f>
        <v/>
      </c>
      <c r="E222" s="85" t="str">
        <f aca="false">IF($L222="","",IF(INDEX(Inv_DateFDS,$L222)=0,"—",INDEX(Inv_DateFDS,$L222)))</f>
        <v/>
      </c>
      <c r="F222" s="85" t="str">
        <f aca="false">IF($L222="","",IF(INDEX(Inv_ProchVerif,$L222)="","—",INDEX(Inv_ProchVerif,$L222)))</f>
        <v/>
      </c>
      <c r="G222" s="87" t="str">
        <f aca="true">IF($L222="","",IF(OR(F222="—",F222=""),"—",F222-TODAY()))</f>
        <v/>
      </c>
      <c r="H222" s="83" t="str">
        <f aca="false">IF($L222="","",IF(AND(OR(D222="EXPIRÉE",D222="À RENOUVELER",D222="FDS ABSENTE"),J222="—"),"OUI","—"))</f>
        <v/>
      </c>
      <c r="I222" s="85" t="str">
        <f aca="false">IF($L222="","",IF(INDEX(Inv_DemFDS,$L222)=0,"—",INDEX(Inv_DemFDS,$L222)))</f>
        <v/>
      </c>
      <c r="J222" s="85" t="str">
        <f aca="false">IF($L222="","",IF(INDEX(Inv_RecFDS,$L222)=0,"—",INDEX(Inv_RecFDS,$L222)))</f>
        <v/>
      </c>
      <c r="L222" s="0" t="str">
        <f aca="false">IF(ROW()-5&gt;NbProduits,"",MATCH(SMALL(CleFDS,ROW()-5),CleFDS,0))</f>
        <v/>
      </c>
    </row>
    <row r="223" customFormat="false" ht="15" hidden="false" customHeight="false" outlineLevel="0" collapsed="false">
      <c r="A223" s="83" t="str">
        <f aca="false">IF($L223="","",INDEX(Inv_Num,$L223))</f>
        <v/>
      </c>
      <c r="B223" s="67" t="str">
        <f aca="false">IF($L223="","",INDEX(Inv_Nom,$L223))</f>
        <v/>
      </c>
      <c r="C223" s="67" t="str">
        <f aca="false">IF($L223="","",T(INDEX(Inv_Fourn,$L223)))</f>
        <v/>
      </c>
      <c r="D223" s="83" t="str">
        <f aca="false">IF($L223="","",INDEX(Inv_StatutFDS,$L223))</f>
        <v/>
      </c>
      <c r="E223" s="85" t="str">
        <f aca="false">IF($L223="","",IF(INDEX(Inv_DateFDS,$L223)=0,"—",INDEX(Inv_DateFDS,$L223)))</f>
        <v/>
      </c>
      <c r="F223" s="85" t="str">
        <f aca="false">IF($L223="","",IF(INDEX(Inv_ProchVerif,$L223)="","—",INDEX(Inv_ProchVerif,$L223)))</f>
        <v/>
      </c>
      <c r="G223" s="87" t="str">
        <f aca="true">IF($L223="","",IF(OR(F223="—",F223=""),"—",F223-TODAY()))</f>
        <v/>
      </c>
      <c r="H223" s="83" t="str">
        <f aca="false">IF($L223="","",IF(AND(OR(D223="EXPIRÉE",D223="À RENOUVELER",D223="FDS ABSENTE"),J223="—"),"OUI","—"))</f>
        <v/>
      </c>
      <c r="I223" s="85" t="str">
        <f aca="false">IF($L223="","",IF(INDEX(Inv_DemFDS,$L223)=0,"—",INDEX(Inv_DemFDS,$L223)))</f>
        <v/>
      </c>
      <c r="J223" s="85" t="str">
        <f aca="false">IF($L223="","",IF(INDEX(Inv_RecFDS,$L223)=0,"—",INDEX(Inv_RecFDS,$L223)))</f>
        <v/>
      </c>
      <c r="L223" s="0" t="str">
        <f aca="false">IF(ROW()-5&gt;NbProduits,"",MATCH(SMALL(CleFDS,ROW()-5),CleFDS,0))</f>
        <v/>
      </c>
    </row>
    <row r="224" customFormat="false" ht="15" hidden="false" customHeight="false" outlineLevel="0" collapsed="false">
      <c r="A224" s="83" t="str">
        <f aca="false">IF($L224="","",INDEX(Inv_Num,$L224))</f>
        <v/>
      </c>
      <c r="B224" s="67" t="str">
        <f aca="false">IF($L224="","",INDEX(Inv_Nom,$L224))</f>
        <v/>
      </c>
      <c r="C224" s="67" t="str">
        <f aca="false">IF($L224="","",T(INDEX(Inv_Fourn,$L224)))</f>
        <v/>
      </c>
      <c r="D224" s="83" t="str">
        <f aca="false">IF($L224="","",INDEX(Inv_StatutFDS,$L224))</f>
        <v/>
      </c>
      <c r="E224" s="85" t="str">
        <f aca="false">IF($L224="","",IF(INDEX(Inv_DateFDS,$L224)=0,"—",INDEX(Inv_DateFDS,$L224)))</f>
        <v/>
      </c>
      <c r="F224" s="85" t="str">
        <f aca="false">IF($L224="","",IF(INDEX(Inv_ProchVerif,$L224)="","—",INDEX(Inv_ProchVerif,$L224)))</f>
        <v/>
      </c>
      <c r="G224" s="87" t="str">
        <f aca="true">IF($L224="","",IF(OR(F224="—",F224=""),"—",F224-TODAY()))</f>
        <v/>
      </c>
      <c r="H224" s="83" t="str">
        <f aca="false">IF($L224="","",IF(AND(OR(D224="EXPIRÉE",D224="À RENOUVELER",D224="FDS ABSENTE"),J224="—"),"OUI","—"))</f>
        <v/>
      </c>
      <c r="I224" s="85" t="str">
        <f aca="false">IF($L224="","",IF(INDEX(Inv_DemFDS,$L224)=0,"—",INDEX(Inv_DemFDS,$L224)))</f>
        <v/>
      </c>
      <c r="J224" s="85" t="str">
        <f aca="false">IF($L224="","",IF(INDEX(Inv_RecFDS,$L224)=0,"—",INDEX(Inv_RecFDS,$L224)))</f>
        <v/>
      </c>
      <c r="L224" s="0" t="str">
        <f aca="false">IF(ROW()-5&gt;NbProduits,"",MATCH(SMALL(CleFDS,ROW()-5),CleFDS,0))</f>
        <v/>
      </c>
    </row>
    <row r="225" customFormat="false" ht="15" hidden="false" customHeight="false" outlineLevel="0" collapsed="false">
      <c r="A225" s="83" t="str">
        <f aca="false">IF($L225="","",INDEX(Inv_Num,$L225))</f>
        <v/>
      </c>
      <c r="B225" s="67" t="str">
        <f aca="false">IF($L225="","",INDEX(Inv_Nom,$L225))</f>
        <v/>
      </c>
      <c r="C225" s="67" t="str">
        <f aca="false">IF($L225="","",T(INDEX(Inv_Fourn,$L225)))</f>
        <v/>
      </c>
      <c r="D225" s="83" t="str">
        <f aca="false">IF($L225="","",INDEX(Inv_StatutFDS,$L225))</f>
        <v/>
      </c>
      <c r="E225" s="85" t="str">
        <f aca="false">IF($L225="","",IF(INDEX(Inv_DateFDS,$L225)=0,"—",INDEX(Inv_DateFDS,$L225)))</f>
        <v/>
      </c>
      <c r="F225" s="85" t="str">
        <f aca="false">IF($L225="","",IF(INDEX(Inv_ProchVerif,$L225)="","—",INDEX(Inv_ProchVerif,$L225)))</f>
        <v/>
      </c>
      <c r="G225" s="87" t="str">
        <f aca="true">IF($L225="","",IF(OR(F225="—",F225=""),"—",F225-TODAY()))</f>
        <v/>
      </c>
      <c r="H225" s="83" t="str">
        <f aca="false">IF($L225="","",IF(AND(OR(D225="EXPIRÉE",D225="À RENOUVELER",D225="FDS ABSENTE"),J225="—"),"OUI","—"))</f>
        <v/>
      </c>
      <c r="I225" s="85" t="str">
        <f aca="false">IF($L225="","",IF(INDEX(Inv_DemFDS,$L225)=0,"—",INDEX(Inv_DemFDS,$L225)))</f>
        <v/>
      </c>
      <c r="J225" s="85" t="str">
        <f aca="false">IF($L225="","",IF(INDEX(Inv_RecFDS,$L225)=0,"—",INDEX(Inv_RecFDS,$L225)))</f>
        <v/>
      </c>
      <c r="L225" s="0" t="str">
        <f aca="false">IF(ROW()-5&gt;NbProduits,"",MATCH(SMALL(CleFDS,ROW()-5),CleFDS,0))</f>
        <v/>
      </c>
    </row>
    <row r="226" customFormat="false" ht="15" hidden="false" customHeight="false" outlineLevel="0" collapsed="false">
      <c r="A226" s="83" t="str">
        <f aca="false">IF($L226="","",INDEX(Inv_Num,$L226))</f>
        <v/>
      </c>
      <c r="B226" s="67" t="str">
        <f aca="false">IF($L226="","",INDEX(Inv_Nom,$L226))</f>
        <v/>
      </c>
      <c r="C226" s="67" t="str">
        <f aca="false">IF($L226="","",T(INDEX(Inv_Fourn,$L226)))</f>
        <v/>
      </c>
      <c r="D226" s="83" t="str">
        <f aca="false">IF($L226="","",INDEX(Inv_StatutFDS,$L226))</f>
        <v/>
      </c>
      <c r="E226" s="85" t="str">
        <f aca="false">IF($L226="","",IF(INDEX(Inv_DateFDS,$L226)=0,"—",INDEX(Inv_DateFDS,$L226)))</f>
        <v/>
      </c>
      <c r="F226" s="85" t="str">
        <f aca="false">IF($L226="","",IF(INDEX(Inv_ProchVerif,$L226)="","—",INDEX(Inv_ProchVerif,$L226)))</f>
        <v/>
      </c>
      <c r="G226" s="87" t="str">
        <f aca="true">IF($L226="","",IF(OR(F226="—",F226=""),"—",F226-TODAY()))</f>
        <v/>
      </c>
      <c r="H226" s="83" t="str">
        <f aca="false">IF($L226="","",IF(AND(OR(D226="EXPIRÉE",D226="À RENOUVELER",D226="FDS ABSENTE"),J226="—"),"OUI","—"))</f>
        <v/>
      </c>
      <c r="I226" s="85" t="str">
        <f aca="false">IF($L226="","",IF(INDEX(Inv_DemFDS,$L226)=0,"—",INDEX(Inv_DemFDS,$L226)))</f>
        <v/>
      </c>
      <c r="J226" s="85" t="str">
        <f aca="false">IF($L226="","",IF(INDEX(Inv_RecFDS,$L226)=0,"—",INDEX(Inv_RecFDS,$L226)))</f>
        <v/>
      </c>
      <c r="L226" s="0" t="str">
        <f aca="false">IF(ROW()-5&gt;NbProduits,"",MATCH(SMALL(CleFDS,ROW()-5),CleFDS,0))</f>
        <v/>
      </c>
    </row>
    <row r="227" customFormat="false" ht="15" hidden="false" customHeight="false" outlineLevel="0" collapsed="false">
      <c r="A227" s="83" t="str">
        <f aca="false">IF($L227="","",INDEX(Inv_Num,$L227))</f>
        <v/>
      </c>
      <c r="B227" s="67" t="str">
        <f aca="false">IF($L227="","",INDEX(Inv_Nom,$L227))</f>
        <v/>
      </c>
      <c r="C227" s="67" t="str">
        <f aca="false">IF($L227="","",T(INDEX(Inv_Fourn,$L227)))</f>
        <v/>
      </c>
      <c r="D227" s="83" t="str">
        <f aca="false">IF($L227="","",INDEX(Inv_StatutFDS,$L227))</f>
        <v/>
      </c>
      <c r="E227" s="85" t="str">
        <f aca="false">IF($L227="","",IF(INDEX(Inv_DateFDS,$L227)=0,"—",INDEX(Inv_DateFDS,$L227)))</f>
        <v/>
      </c>
      <c r="F227" s="85" t="str">
        <f aca="false">IF($L227="","",IF(INDEX(Inv_ProchVerif,$L227)="","—",INDEX(Inv_ProchVerif,$L227)))</f>
        <v/>
      </c>
      <c r="G227" s="87" t="str">
        <f aca="true">IF($L227="","",IF(OR(F227="—",F227=""),"—",F227-TODAY()))</f>
        <v/>
      </c>
      <c r="H227" s="83" t="str">
        <f aca="false">IF($L227="","",IF(AND(OR(D227="EXPIRÉE",D227="À RENOUVELER",D227="FDS ABSENTE"),J227="—"),"OUI","—"))</f>
        <v/>
      </c>
      <c r="I227" s="85" t="str">
        <f aca="false">IF($L227="","",IF(INDEX(Inv_DemFDS,$L227)=0,"—",INDEX(Inv_DemFDS,$L227)))</f>
        <v/>
      </c>
      <c r="J227" s="85" t="str">
        <f aca="false">IF($L227="","",IF(INDEX(Inv_RecFDS,$L227)=0,"—",INDEX(Inv_RecFDS,$L227)))</f>
        <v/>
      </c>
      <c r="L227" s="0" t="str">
        <f aca="false">IF(ROW()-5&gt;NbProduits,"",MATCH(SMALL(CleFDS,ROW()-5),CleFDS,0))</f>
        <v/>
      </c>
    </row>
    <row r="228" customFormat="false" ht="15" hidden="false" customHeight="false" outlineLevel="0" collapsed="false">
      <c r="A228" s="83" t="str">
        <f aca="false">IF($L228="","",INDEX(Inv_Num,$L228))</f>
        <v/>
      </c>
      <c r="B228" s="67" t="str">
        <f aca="false">IF($L228="","",INDEX(Inv_Nom,$L228))</f>
        <v/>
      </c>
      <c r="C228" s="67" t="str">
        <f aca="false">IF($L228="","",T(INDEX(Inv_Fourn,$L228)))</f>
        <v/>
      </c>
      <c r="D228" s="83" t="str">
        <f aca="false">IF($L228="","",INDEX(Inv_StatutFDS,$L228))</f>
        <v/>
      </c>
      <c r="E228" s="85" t="str">
        <f aca="false">IF($L228="","",IF(INDEX(Inv_DateFDS,$L228)=0,"—",INDEX(Inv_DateFDS,$L228)))</f>
        <v/>
      </c>
      <c r="F228" s="85" t="str">
        <f aca="false">IF($L228="","",IF(INDEX(Inv_ProchVerif,$L228)="","—",INDEX(Inv_ProchVerif,$L228)))</f>
        <v/>
      </c>
      <c r="G228" s="87" t="str">
        <f aca="true">IF($L228="","",IF(OR(F228="—",F228=""),"—",F228-TODAY()))</f>
        <v/>
      </c>
      <c r="H228" s="83" t="str">
        <f aca="false">IF($L228="","",IF(AND(OR(D228="EXPIRÉE",D228="À RENOUVELER",D228="FDS ABSENTE"),J228="—"),"OUI","—"))</f>
        <v/>
      </c>
      <c r="I228" s="85" t="str">
        <f aca="false">IF($L228="","",IF(INDEX(Inv_DemFDS,$L228)=0,"—",INDEX(Inv_DemFDS,$L228)))</f>
        <v/>
      </c>
      <c r="J228" s="85" t="str">
        <f aca="false">IF($L228="","",IF(INDEX(Inv_RecFDS,$L228)=0,"—",INDEX(Inv_RecFDS,$L228)))</f>
        <v/>
      </c>
      <c r="L228" s="0" t="str">
        <f aca="false">IF(ROW()-5&gt;NbProduits,"",MATCH(SMALL(CleFDS,ROW()-5),CleFDS,0))</f>
        <v/>
      </c>
    </row>
    <row r="229" customFormat="false" ht="15" hidden="false" customHeight="false" outlineLevel="0" collapsed="false">
      <c r="A229" s="83" t="str">
        <f aca="false">IF($L229="","",INDEX(Inv_Num,$L229))</f>
        <v/>
      </c>
      <c r="B229" s="67" t="str">
        <f aca="false">IF($L229="","",INDEX(Inv_Nom,$L229))</f>
        <v/>
      </c>
      <c r="C229" s="67" t="str">
        <f aca="false">IF($L229="","",T(INDEX(Inv_Fourn,$L229)))</f>
        <v/>
      </c>
      <c r="D229" s="83" t="str">
        <f aca="false">IF($L229="","",INDEX(Inv_StatutFDS,$L229))</f>
        <v/>
      </c>
      <c r="E229" s="85" t="str">
        <f aca="false">IF($L229="","",IF(INDEX(Inv_DateFDS,$L229)=0,"—",INDEX(Inv_DateFDS,$L229)))</f>
        <v/>
      </c>
      <c r="F229" s="85" t="str">
        <f aca="false">IF($L229="","",IF(INDEX(Inv_ProchVerif,$L229)="","—",INDEX(Inv_ProchVerif,$L229)))</f>
        <v/>
      </c>
      <c r="G229" s="87" t="str">
        <f aca="true">IF($L229="","",IF(OR(F229="—",F229=""),"—",F229-TODAY()))</f>
        <v/>
      </c>
      <c r="H229" s="83" t="str">
        <f aca="false">IF($L229="","",IF(AND(OR(D229="EXPIRÉE",D229="À RENOUVELER",D229="FDS ABSENTE"),J229="—"),"OUI","—"))</f>
        <v/>
      </c>
      <c r="I229" s="85" t="str">
        <f aca="false">IF($L229="","",IF(INDEX(Inv_DemFDS,$L229)=0,"—",INDEX(Inv_DemFDS,$L229)))</f>
        <v/>
      </c>
      <c r="J229" s="85" t="str">
        <f aca="false">IF($L229="","",IF(INDEX(Inv_RecFDS,$L229)=0,"—",INDEX(Inv_RecFDS,$L229)))</f>
        <v/>
      </c>
      <c r="L229" s="0" t="str">
        <f aca="false">IF(ROW()-5&gt;NbProduits,"",MATCH(SMALL(CleFDS,ROW()-5),CleFDS,0))</f>
        <v/>
      </c>
    </row>
    <row r="230" customFormat="false" ht="15" hidden="false" customHeight="false" outlineLevel="0" collapsed="false">
      <c r="A230" s="83" t="str">
        <f aca="false">IF($L230="","",INDEX(Inv_Num,$L230))</f>
        <v/>
      </c>
      <c r="B230" s="67" t="str">
        <f aca="false">IF($L230="","",INDEX(Inv_Nom,$L230))</f>
        <v/>
      </c>
      <c r="C230" s="67" t="str">
        <f aca="false">IF($L230="","",T(INDEX(Inv_Fourn,$L230)))</f>
        <v/>
      </c>
      <c r="D230" s="83" t="str">
        <f aca="false">IF($L230="","",INDEX(Inv_StatutFDS,$L230))</f>
        <v/>
      </c>
      <c r="E230" s="85" t="str">
        <f aca="false">IF($L230="","",IF(INDEX(Inv_DateFDS,$L230)=0,"—",INDEX(Inv_DateFDS,$L230)))</f>
        <v/>
      </c>
      <c r="F230" s="85" t="str">
        <f aca="false">IF($L230="","",IF(INDEX(Inv_ProchVerif,$L230)="","—",INDEX(Inv_ProchVerif,$L230)))</f>
        <v/>
      </c>
      <c r="G230" s="87" t="str">
        <f aca="true">IF($L230="","",IF(OR(F230="—",F230=""),"—",F230-TODAY()))</f>
        <v/>
      </c>
      <c r="H230" s="83" t="str">
        <f aca="false">IF($L230="","",IF(AND(OR(D230="EXPIRÉE",D230="À RENOUVELER",D230="FDS ABSENTE"),J230="—"),"OUI","—"))</f>
        <v/>
      </c>
      <c r="I230" s="85" t="str">
        <f aca="false">IF($L230="","",IF(INDEX(Inv_DemFDS,$L230)=0,"—",INDEX(Inv_DemFDS,$L230)))</f>
        <v/>
      </c>
      <c r="J230" s="85" t="str">
        <f aca="false">IF($L230="","",IF(INDEX(Inv_RecFDS,$L230)=0,"—",INDEX(Inv_RecFDS,$L230)))</f>
        <v/>
      </c>
      <c r="L230" s="0" t="str">
        <f aca="false">IF(ROW()-5&gt;NbProduits,"",MATCH(SMALL(CleFDS,ROW()-5),CleFDS,0))</f>
        <v/>
      </c>
    </row>
    <row r="231" customFormat="false" ht="15" hidden="false" customHeight="false" outlineLevel="0" collapsed="false">
      <c r="A231" s="83" t="str">
        <f aca="false">IF($L231="","",INDEX(Inv_Num,$L231))</f>
        <v/>
      </c>
      <c r="B231" s="67" t="str">
        <f aca="false">IF($L231="","",INDEX(Inv_Nom,$L231))</f>
        <v/>
      </c>
      <c r="C231" s="67" t="str">
        <f aca="false">IF($L231="","",T(INDEX(Inv_Fourn,$L231)))</f>
        <v/>
      </c>
      <c r="D231" s="83" t="str">
        <f aca="false">IF($L231="","",INDEX(Inv_StatutFDS,$L231))</f>
        <v/>
      </c>
      <c r="E231" s="85" t="str">
        <f aca="false">IF($L231="","",IF(INDEX(Inv_DateFDS,$L231)=0,"—",INDEX(Inv_DateFDS,$L231)))</f>
        <v/>
      </c>
      <c r="F231" s="85" t="str">
        <f aca="false">IF($L231="","",IF(INDEX(Inv_ProchVerif,$L231)="","—",INDEX(Inv_ProchVerif,$L231)))</f>
        <v/>
      </c>
      <c r="G231" s="87" t="str">
        <f aca="true">IF($L231="","",IF(OR(F231="—",F231=""),"—",F231-TODAY()))</f>
        <v/>
      </c>
      <c r="H231" s="83" t="str">
        <f aca="false">IF($L231="","",IF(AND(OR(D231="EXPIRÉE",D231="À RENOUVELER",D231="FDS ABSENTE"),J231="—"),"OUI","—"))</f>
        <v/>
      </c>
      <c r="I231" s="85" t="str">
        <f aca="false">IF($L231="","",IF(INDEX(Inv_DemFDS,$L231)=0,"—",INDEX(Inv_DemFDS,$L231)))</f>
        <v/>
      </c>
      <c r="J231" s="85" t="str">
        <f aca="false">IF($L231="","",IF(INDEX(Inv_RecFDS,$L231)=0,"—",INDEX(Inv_RecFDS,$L231)))</f>
        <v/>
      </c>
      <c r="L231" s="0" t="str">
        <f aca="false">IF(ROW()-5&gt;NbProduits,"",MATCH(SMALL(CleFDS,ROW()-5),CleFDS,0))</f>
        <v/>
      </c>
    </row>
    <row r="232" customFormat="false" ht="15" hidden="false" customHeight="false" outlineLevel="0" collapsed="false">
      <c r="A232" s="83" t="str">
        <f aca="false">IF($L232="","",INDEX(Inv_Num,$L232))</f>
        <v/>
      </c>
      <c r="B232" s="67" t="str">
        <f aca="false">IF($L232="","",INDEX(Inv_Nom,$L232))</f>
        <v/>
      </c>
      <c r="C232" s="67" t="str">
        <f aca="false">IF($L232="","",T(INDEX(Inv_Fourn,$L232)))</f>
        <v/>
      </c>
      <c r="D232" s="83" t="str">
        <f aca="false">IF($L232="","",INDEX(Inv_StatutFDS,$L232))</f>
        <v/>
      </c>
      <c r="E232" s="85" t="str">
        <f aca="false">IF($L232="","",IF(INDEX(Inv_DateFDS,$L232)=0,"—",INDEX(Inv_DateFDS,$L232)))</f>
        <v/>
      </c>
      <c r="F232" s="85" t="str">
        <f aca="false">IF($L232="","",IF(INDEX(Inv_ProchVerif,$L232)="","—",INDEX(Inv_ProchVerif,$L232)))</f>
        <v/>
      </c>
      <c r="G232" s="87" t="str">
        <f aca="true">IF($L232="","",IF(OR(F232="—",F232=""),"—",F232-TODAY()))</f>
        <v/>
      </c>
      <c r="H232" s="83" t="str">
        <f aca="false">IF($L232="","",IF(AND(OR(D232="EXPIRÉE",D232="À RENOUVELER",D232="FDS ABSENTE"),J232="—"),"OUI","—"))</f>
        <v/>
      </c>
      <c r="I232" s="85" t="str">
        <f aca="false">IF($L232="","",IF(INDEX(Inv_DemFDS,$L232)=0,"—",INDEX(Inv_DemFDS,$L232)))</f>
        <v/>
      </c>
      <c r="J232" s="85" t="str">
        <f aca="false">IF($L232="","",IF(INDEX(Inv_RecFDS,$L232)=0,"—",INDEX(Inv_RecFDS,$L232)))</f>
        <v/>
      </c>
      <c r="L232" s="0" t="str">
        <f aca="false">IF(ROW()-5&gt;NbProduits,"",MATCH(SMALL(CleFDS,ROW()-5),CleFDS,0))</f>
        <v/>
      </c>
    </row>
    <row r="233" customFormat="false" ht="15" hidden="false" customHeight="false" outlineLevel="0" collapsed="false">
      <c r="A233" s="83" t="str">
        <f aca="false">IF($L233="","",INDEX(Inv_Num,$L233))</f>
        <v/>
      </c>
      <c r="B233" s="67" t="str">
        <f aca="false">IF($L233="","",INDEX(Inv_Nom,$L233))</f>
        <v/>
      </c>
      <c r="C233" s="67" t="str">
        <f aca="false">IF($L233="","",T(INDEX(Inv_Fourn,$L233)))</f>
        <v/>
      </c>
      <c r="D233" s="83" t="str">
        <f aca="false">IF($L233="","",INDEX(Inv_StatutFDS,$L233))</f>
        <v/>
      </c>
      <c r="E233" s="85" t="str">
        <f aca="false">IF($L233="","",IF(INDEX(Inv_DateFDS,$L233)=0,"—",INDEX(Inv_DateFDS,$L233)))</f>
        <v/>
      </c>
      <c r="F233" s="85" t="str">
        <f aca="false">IF($L233="","",IF(INDEX(Inv_ProchVerif,$L233)="","—",INDEX(Inv_ProchVerif,$L233)))</f>
        <v/>
      </c>
      <c r="G233" s="87" t="str">
        <f aca="true">IF($L233="","",IF(OR(F233="—",F233=""),"—",F233-TODAY()))</f>
        <v/>
      </c>
      <c r="H233" s="83" t="str">
        <f aca="false">IF($L233="","",IF(AND(OR(D233="EXPIRÉE",D233="À RENOUVELER",D233="FDS ABSENTE"),J233="—"),"OUI","—"))</f>
        <v/>
      </c>
      <c r="I233" s="85" t="str">
        <f aca="false">IF($L233="","",IF(INDEX(Inv_DemFDS,$L233)=0,"—",INDEX(Inv_DemFDS,$L233)))</f>
        <v/>
      </c>
      <c r="J233" s="85" t="str">
        <f aca="false">IF($L233="","",IF(INDEX(Inv_RecFDS,$L233)=0,"—",INDEX(Inv_RecFDS,$L233)))</f>
        <v/>
      </c>
      <c r="L233" s="0" t="str">
        <f aca="false">IF(ROW()-5&gt;NbProduits,"",MATCH(SMALL(CleFDS,ROW()-5),CleFDS,0))</f>
        <v/>
      </c>
    </row>
    <row r="234" customFormat="false" ht="15" hidden="false" customHeight="false" outlineLevel="0" collapsed="false">
      <c r="A234" s="83" t="str">
        <f aca="false">IF($L234="","",INDEX(Inv_Num,$L234))</f>
        <v/>
      </c>
      <c r="B234" s="67" t="str">
        <f aca="false">IF($L234="","",INDEX(Inv_Nom,$L234))</f>
        <v/>
      </c>
      <c r="C234" s="67" t="str">
        <f aca="false">IF($L234="","",T(INDEX(Inv_Fourn,$L234)))</f>
        <v/>
      </c>
      <c r="D234" s="83" t="str">
        <f aca="false">IF($L234="","",INDEX(Inv_StatutFDS,$L234))</f>
        <v/>
      </c>
      <c r="E234" s="85" t="str">
        <f aca="false">IF($L234="","",IF(INDEX(Inv_DateFDS,$L234)=0,"—",INDEX(Inv_DateFDS,$L234)))</f>
        <v/>
      </c>
      <c r="F234" s="85" t="str">
        <f aca="false">IF($L234="","",IF(INDEX(Inv_ProchVerif,$L234)="","—",INDEX(Inv_ProchVerif,$L234)))</f>
        <v/>
      </c>
      <c r="G234" s="87" t="str">
        <f aca="true">IF($L234="","",IF(OR(F234="—",F234=""),"—",F234-TODAY()))</f>
        <v/>
      </c>
      <c r="H234" s="83" t="str">
        <f aca="false">IF($L234="","",IF(AND(OR(D234="EXPIRÉE",D234="À RENOUVELER",D234="FDS ABSENTE"),J234="—"),"OUI","—"))</f>
        <v/>
      </c>
      <c r="I234" s="85" t="str">
        <f aca="false">IF($L234="","",IF(INDEX(Inv_DemFDS,$L234)=0,"—",INDEX(Inv_DemFDS,$L234)))</f>
        <v/>
      </c>
      <c r="J234" s="85" t="str">
        <f aca="false">IF($L234="","",IF(INDEX(Inv_RecFDS,$L234)=0,"—",INDEX(Inv_RecFDS,$L234)))</f>
        <v/>
      </c>
      <c r="L234" s="0" t="str">
        <f aca="false">IF(ROW()-5&gt;NbProduits,"",MATCH(SMALL(CleFDS,ROW()-5),CleFDS,0))</f>
        <v/>
      </c>
    </row>
    <row r="235" customFormat="false" ht="15" hidden="false" customHeight="false" outlineLevel="0" collapsed="false">
      <c r="A235" s="83" t="str">
        <f aca="false">IF($L235="","",INDEX(Inv_Num,$L235))</f>
        <v/>
      </c>
      <c r="B235" s="67" t="str">
        <f aca="false">IF($L235="","",INDEX(Inv_Nom,$L235))</f>
        <v/>
      </c>
      <c r="C235" s="67" t="str">
        <f aca="false">IF($L235="","",T(INDEX(Inv_Fourn,$L235)))</f>
        <v/>
      </c>
      <c r="D235" s="83" t="str">
        <f aca="false">IF($L235="","",INDEX(Inv_StatutFDS,$L235))</f>
        <v/>
      </c>
      <c r="E235" s="85" t="str">
        <f aca="false">IF($L235="","",IF(INDEX(Inv_DateFDS,$L235)=0,"—",INDEX(Inv_DateFDS,$L235)))</f>
        <v/>
      </c>
      <c r="F235" s="85" t="str">
        <f aca="false">IF($L235="","",IF(INDEX(Inv_ProchVerif,$L235)="","—",INDEX(Inv_ProchVerif,$L235)))</f>
        <v/>
      </c>
      <c r="G235" s="87" t="str">
        <f aca="true">IF($L235="","",IF(OR(F235="—",F235=""),"—",F235-TODAY()))</f>
        <v/>
      </c>
      <c r="H235" s="83" t="str">
        <f aca="false">IF($L235="","",IF(AND(OR(D235="EXPIRÉE",D235="À RENOUVELER",D235="FDS ABSENTE"),J235="—"),"OUI","—"))</f>
        <v/>
      </c>
      <c r="I235" s="85" t="str">
        <f aca="false">IF($L235="","",IF(INDEX(Inv_DemFDS,$L235)=0,"—",INDEX(Inv_DemFDS,$L235)))</f>
        <v/>
      </c>
      <c r="J235" s="85" t="str">
        <f aca="false">IF($L235="","",IF(INDEX(Inv_RecFDS,$L235)=0,"—",INDEX(Inv_RecFDS,$L235)))</f>
        <v/>
      </c>
      <c r="L235" s="0" t="str">
        <f aca="false">IF(ROW()-5&gt;NbProduits,"",MATCH(SMALL(CleFDS,ROW()-5),CleFDS,0))</f>
        <v/>
      </c>
    </row>
    <row r="236" customFormat="false" ht="15" hidden="false" customHeight="false" outlineLevel="0" collapsed="false">
      <c r="A236" s="83" t="str">
        <f aca="false">IF($L236="","",INDEX(Inv_Num,$L236))</f>
        <v/>
      </c>
      <c r="B236" s="67" t="str">
        <f aca="false">IF($L236="","",INDEX(Inv_Nom,$L236))</f>
        <v/>
      </c>
      <c r="C236" s="67" t="str">
        <f aca="false">IF($L236="","",T(INDEX(Inv_Fourn,$L236)))</f>
        <v/>
      </c>
      <c r="D236" s="83" t="str">
        <f aca="false">IF($L236="","",INDEX(Inv_StatutFDS,$L236))</f>
        <v/>
      </c>
      <c r="E236" s="85" t="str">
        <f aca="false">IF($L236="","",IF(INDEX(Inv_DateFDS,$L236)=0,"—",INDEX(Inv_DateFDS,$L236)))</f>
        <v/>
      </c>
      <c r="F236" s="85" t="str">
        <f aca="false">IF($L236="","",IF(INDEX(Inv_ProchVerif,$L236)="","—",INDEX(Inv_ProchVerif,$L236)))</f>
        <v/>
      </c>
      <c r="G236" s="87" t="str">
        <f aca="true">IF($L236="","",IF(OR(F236="—",F236=""),"—",F236-TODAY()))</f>
        <v/>
      </c>
      <c r="H236" s="83" t="str">
        <f aca="false">IF($L236="","",IF(AND(OR(D236="EXPIRÉE",D236="À RENOUVELER",D236="FDS ABSENTE"),J236="—"),"OUI","—"))</f>
        <v/>
      </c>
      <c r="I236" s="85" t="str">
        <f aca="false">IF($L236="","",IF(INDEX(Inv_DemFDS,$L236)=0,"—",INDEX(Inv_DemFDS,$L236)))</f>
        <v/>
      </c>
      <c r="J236" s="85" t="str">
        <f aca="false">IF($L236="","",IF(INDEX(Inv_RecFDS,$L236)=0,"—",INDEX(Inv_RecFDS,$L236)))</f>
        <v/>
      </c>
      <c r="L236" s="0" t="str">
        <f aca="false">IF(ROW()-5&gt;NbProduits,"",MATCH(SMALL(CleFDS,ROW()-5),CleFDS,0))</f>
        <v/>
      </c>
    </row>
    <row r="237" customFormat="false" ht="15" hidden="false" customHeight="false" outlineLevel="0" collapsed="false">
      <c r="A237" s="83" t="str">
        <f aca="false">IF($L237="","",INDEX(Inv_Num,$L237))</f>
        <v/>
      </c>
      <c r="B237" s="67" t="str">
        <f aca="false">IF($L237="","",INDEX(Inv_Nom,$L237))</f>
        <v/>
      </c>
      <c r="C237" s="67" t="str">
        <f aca="false">IF($L237="","",T(INDEX(Inv_Fourn,$L237)))</f>
        <v/>
      </c>
      <c r="D237" s="83" t="str">
        <f aca="false">IF($L237="","",INDEX(Inv_StatutFDS,$L237))</f>
        <v/>
      </c>
      <c r="E237" s="85" t="str">
        <f aca="false">IF($L237="","",IF(INDEX(Inv_DateFDS,$L237)=0,"—",INDEX(Inv_DateFDS,$L237)))</f>
        <v/>
      </c>
      <c r="F237" s="85" t="str">
        <f aca="false">IF($L237="","",IF(INDEX(Inv_ProchVerif,$L237)="","—",INDEX(Inv_ProchVerif,$L237)))</f>
        <v/>
      </c>
      <c r="G237" s="87" t="str">
        <f aca="true">IF($L237="","",IF(OR(F237="—",F237=""),"—",F237-TODAY()))</f>
        <v/>
      </c>
      <c r="H237" s="83" t="str">
        <f aca="false">IF($L237="","",IF(AND(OR(D237="EXPIRÉE",D237="À RENOUVELER",D237="FDS ABSENTE"),J237="—"),"OUI","—"))</f>
        <v/>
      </c>
      <c r="I237" s="85" t="str">
        <f aca="false">IF($L237="","",IF(INDEX(Inv_DemFDS,$L237)=0,"—",INDEX(Inv_DemFDS,$L237)))</f>
        <v/>
      </c>
      <c r="J237" s="85" t="str">
        <f aca="false">IF($L237="","",IF(INDEX(Inv_RecFDS,$L237)=0,"—",INDEX(Inv_RecFDS,$L237)))</f>
        <v/>
      </c>
      <c r="L237" s="0" t="str">
        <f aca="false">IF(ROW()-5&gt;NbProduits,"",MATCH(SMALL(CleFDS,ROW()-5),CleFDS,0))</f>
        <v/>
      </c>
    </row>
    <row r="238" customFormat="false" ht="15" hidden="false" customHeight="false" outlineLevel="0" collapsed="false">
      <c r="A238" s="83" t="str">
        <f aca="false">IF($L238="","",INDEX(Inv_Num,$L238))</f>
        <v/>
      </c>
      <c r="B238" s="67" t="str">
        <f aca="false">IF($L238="","",INDEX(Inv_Nom,$L238))</f>
        <v/>
      </c>
      <c r="C238" s="67" t="str">
        <f aca="false">IF($L238="","",T(INDEX(Inv_Fourn,$L238)))</f>
        <v/>
      </c>
      <c r="D238" s="83" t="str">
        <f aca="false">IF($L238="","",INDEX(Inv_StatutFDS,$L238))</f>
        <v/>
      </c>
      <c r="E238" s="85" t="str">
        <f aca="false">IF($L238="","",IF(INDEX(Inv_DateFDS,$L238)=0,"—",INDEX(Inv_DateFDS,$L238)))</f>
        <v/>
      </c>
      <c r="F238" s="85" t="str">
        <f aca="false">IF($L238="","",IF(INDEX(Inv_ProchVerif,$L238)="","—",INDEX(Inv_ProchVerif,$L238)))</f>
        <v/>
      </c>
      <c r="G238" s="87" t="str">
        <f aca="true">IF($L238="","",IF(OR(F238="—",F238=""),"—",F238-TODAY()))</f>
        <v/>
      </c>
      <c r="H238" s="83" t="str">
        <f aca="false">IF($L238="","",IF(AND(OR(D238="EXPIRÉE",D238="À RENOUVELER",D238="FDS ABSENTE"),J238="—"),"OUI","—"))</f>
        <v/>
      </c>
      <c r="I238" s="85" t="str">
        <f aca="false">IF($L238="","",IF(INDEX(Inv_DemFDS,$L238)=0,"—",INDEX(Inv_DemFDS,$L238)))</f>
        <v/>
      </c>
      <c r="J238" s="85" t="str">
        <f aca="false">IF($L238="","",IF(INDEX(Inv_RecFDS,$L238)=0,"—",INDEX(Inv_RecFDS,$L238)))</f>
        <v/>
      </c>
      <c r="L238" s="0" t="str">
        <f aca="false">IF(ROW()-5&gt;NbProduits,"",MATCH(SMALL(CleFDS,ROW()-5),CleFDS,0))</f>
        <v/>
      </c>
    </row>
    <row r="239" customFormat="false" ht="15" hidden="false" customHeight="false" outlineLevel="0" collapsed="false">
      <c r="A239" s="83" t="str">
        <f aca="false">IF($L239="","",INDEX(Inv_Num,$L239))</f>
        <v/>
      </c>
      <c r="B239" s="67" t="str">
        <f aca="false">IF($L239="","",INDEX(Inv_Nom,$L239))</f>
        <v/>
      </c>
      <c r="C239" s="67" t="str">
        <f aca="false">IF($L239="","",T(INDEX(Inv_Fourn,$L239)))</f>
        <v/>
      </c>
      <c r="D239" s="83" t="str">
        <f aca="false">IF($L239="","",INDEX(Inv_StatutFDS,$L239))</f>
        <v/>
      </c>
      <c r="E239" s="85" t="str">
        <f aca="false">IF($L239="","",IF(INDEX(Inv_DateFDS,$L239)=0,"—",INDEX(Inv_DateFDS,$L239)))</f>
        <v/>
      </c>
      <c r="F239" s="85" t="str">
        <f aca="false">IF($L239="","",IF(INDEX(Inv_ProchVerif,$L239)="","—",INDEX(Inv_ProchVerif,$L239)))</f>
        <v/>
      </c>
      <c r="G239" s="87" t="str">
        <f aca="true">IF($L239="","",IF(OR(F239="—",F239=""),"—",F239-TODAY()))</f>
        <v/>
      </c>
      <c r="H239" s="83" t="str">
        <f aca="false">IF($L239="","",IF(AND(OR(D239="EXPIRÉE",D239="À RENOUVELER",D239="FDS ABSENTE"),J239="—"),"OUI","—"))</f>
        <v/>
      </c>
      <c r="I239" s="85" t="str">
        <f aca="false">IF($L239="","",IF(INDEX(Inv_DemFDS,$L239)=0,"—",INDEX(Inv_DemFDS,$L239)))</f>
        <v/>
      </c>
      <c r="J239" s="85" t="str">
        <f aca="false">IF($L239="","",IF(INDEX(Inv_RecFDS,$L239)=0,"—",INDEX(Inv_RecFDS,$L239)))</f>
        <v/>
      </c>
      <c r="L239" s="0" t="str">
        <f aca="false">IF(ROW()-5&gt;NbProduits,"",MATCH(SMALL(CleFDS,ROW()-5),CleFDS,0))</f>
        <v/>
      </c>
    </row>
    <row r="240" customFormat="false" ht="15" hidden="false" customHeight="false" outlineLevel="0" collapsed="false">
      <c r="A240" s="83" t="str">
        <f aca="false">IF($L240="","",INDEX(Inv_Num,$L240))</f>
        <v/>
      </c>
      <c r="B240" s="67" t="str">
        <f aca="false">IF($L240="","",INDEX(Inv_Nom,$L240))</f>
        <v/>
      </c>
      <c r="C240" s="67" t="str">
        <f aca="false">IF($L240="","",T(INDEX(Inv_Fourn,$L240)))</f>
        <v/>
      </c>
      <c r="D240" s="83" t="str">
        <f aca="false">IF($L240="","",INDEX(Inv_StatutFDS,$L240))</f>
        <v/>
      </c>
      <c r="E240" s="85" t="str">
        <f aca="false">IF($L240="","",IF(INDEX(Inv_DateFDS,$L240)=0,"—",INDEX(Inv_DateFDS,$L240)))</f>
        <v/>
      </c>
      <c r="F240" s="85" t="str">
        <f aca="false">IF($L240="","",IF(INDEX(Inv_ProchVerif,$L240)="","—",INDEX(Inv_ProchVerif,$L240)))</f>
        <v/>
      </c>
      <c r="G240" s="87" t="str">
        <f aca="true">IF($L240="","",IF(OR(F240="—",F240=""),"—",F240-TODAY()))</f>
        <v/>
      </c>
      <c r="H240" s="83" t="str">
        <f aca="false">IF($L240="","",IF(AND(OR(D240="EXPIRÉE",D240="À RENOUVELER",D240="FDS ABSENTE"),J240="—"),"OUI","—"))</f>
        <v/>
      </c>
      <c r="I240" s="85" t="str">
        <f aca="false">IF($L240="","",IF(INDEX(Inv_DemFDS,$L240)=0,"—",INDEX(Inv_DemFDS,$L240)))</f>
        <v/>
      </c>
      <c r="J240" s="85" t="str">
        <f aca="false">IF($L240="","",IF(INDEX(Inv_RecFDS,$L240)=0,"—",INDEX(Inv_RecFDS,$L240)))</f>
        <v/>
      </c>
      <c r="L240" s="0" t="str">
        <f aca="false">IF(ROW()-5&gt;NbProduits,"",MATCH(SMALL(CleFDS,ROW()-5),CleFDS,0))</f>
        <v/>
      </c>
    </row>
    <row r="241" customFormat="false" ht="15" hidden="false" customHeight="false" outlineLevel="0" collapsed="false">
      <c r="A241" s="83" t="str">
        <f aca="false">IF($L241="","",INDEX(Inv_Num,$L241))</f>
        <v/>
      </c>
      <c r="B241" s="67" t="str">
        <f aca="false">IF($L241="","",INDEX(Inv_Nom,$L241))</f>
        <v/>
      </c>
      <c r="C241" s="67" t="str">
        <f aca="false">IF($L241="","",T(INDEX(Inv_Fourn,$L241)))</f>
        <v/>
      </c>
      <c r="D241" s="83" t="str">
        <f aca="false">IF($L241="","",INDEX(Inv_StatutFDS,$L241))</f>
        <v/>
      </c>
      <c r="E241" s="85" t="str">
        <f aca="false">IF($L241="","",IF(INDEX(Inv_DateFDS,$L241)=0,"—",INDEX(Inv_DateFDS,$L241)))</f>
        <v/>
      </c>
      <c r="F241" s="85" t="str">
        <f aca="false">IF($L241="","",IF(INDEX(Inv_ProchVerif,$L241)="","—",INDEX(Inv_ProchVerif,$L241)))</f>
        <v/>
      </c>
      <c r="G241" s="87" t="str">
        <f aca="true">IF($L241="","",IF(OR(F241="—",F241=""),"—",F241-TODAY()))</f>
        <v/>
      </c>
      <c r="H241" s="83" t="str">
        <f aca="false">IF($L241="","",IF(AND(OR(D241="EXPIRÉE",D241="À RENOUVELER",D241="FDS ABSENTE"),J241="—"),"OUI","—"))</f>
        <v/>
      </c>
      <c r="I241" s="85" t="str">
        <f aca="false">IF($L241="","",IF(INDEX(Inv_DemFDS,$L241)=0,"—",INDEX(Inv_DemFDS,$L241)))</f>
        <v/>
      </c>
      <c r="J241" s="85" t="str">
        <f aca="false">IF($L241="","",IF(INDEX(Inv_RecFDS,$L241)=0,"—",INDEX(Inv_RecFDS,$L241)))</f>
        <v/>
      </c>
      <c r="L241" s="0" t="str">
        <f aca="false">IF(ROW()-5&gt;NbProduits,"",MATCH(SMALL(CleFDS,ROW()-5),CleFDS,0))</f>
        <v/>
      </c>
    </row>
    <row r="242" customFormat="false" ht="15" hidden="false" customHeight="false" outlineLevel="0" collapsed="false">
      <c r="A242" s="83" t="str">
        <f aca="false">IF($L242="","",INDEX(Inv_Num,$L242))</f>
        <v/>
      </c>
      <c r="B242" s="67" t="str">
        <f aca="false">IF($L242="","",INDEX(Inv_Nom,$L242))</f>
        <v/>
      </c>
      <c r="C242" s="67" t="str">
        <f aca="false">IF($L242="","",T(INDEX(Inv_Fourn,$L242)))</f>
        <v/>
      </c>
      <c r="D242" s="83" t="str">
        <f aca="false">IF($L242="","",INDEX(Inv_StatutFDS,$L242))</f>
        <v/>
      </c>
      <c r="E242" s="85" t="str">
        <f aca="false">IF($L242="","",IF(INDEX(Inv_DateFDS,$L242)=0,"—",INDEX(Inv_DateFDS,$L242)))</f>
        <v/>
      </c>
      <c r="F242" s="85" t="str">
        <f aca="false">IF($L242="","",IF(INDEX(Inv_ProchVerif,$L242)="","—",INDEX(Inv_ProchVerif,$L242)))</f>
        <v/>
      </c>
      <c r="G242" s="87" t="str">
        <f aca="true">IF($L242="","",IF(OR(F242="—",F242=""),"—",F242-TODAY()))</f>
        <v/>
      </c>
      <c r="H242" s="83" t="str">
        <f aca="false">IF($L242="","",IF(AND(OR(D242="EXPIRÉE",D242="À RENOUVELER",D242="FDS ABSENTE"),J242="—"),"OUI","—"))</f>
        <v/>
      </c>
      <c r="I242" s="85" t="str">
        <f aca="false">IF($L242="","",IF(INDEX(Inv_DemFDS,$L242)=0,"—",INDEX(Inv_DemFDS,$L242)))</f>
        <v/>
      </c>
      <c r="J242" s="85" t="str">
        <f aca="false">IF($L242="","",IF(INDEX(Inv_RecFDS,$L242)=0,"—",INDEX(Inv_RecFDS,$L242)))</f>
        <v/>
      </c>
      <c r="L242" s="0" t="str">
        <f aca="false">IF(ROW()-5&gt;NbProduits,"",MATCH(SMALL(CleFDS,ROW()-5),CleFDS,0))</f>
        <v/>
      </c>
    </row>
    <row r="243" customFormat="false" ht="15" hidden="false" customHeight="false" outlineLevel="0" collapsed="false">
      <c r="A243" s="83" t="str">
        <f aca="false">IF($L243="","",INDEX(Inv_Num,$L243))</f>
        <v/>
      </c>
      <c r="B243" s="67" t="str">
        <f aca="false">IF($L243="","",INDEX(Inv_Nom,$L243))</f>
        <v/>
      </c>
      <c r="C243" s="67" t="str">
        <f aca="false">IF($L243="","",T(INDEX(Inv_Fourn,$L243)))</f>
        <v/>
      </c>
      <c r="D243" s="83" t="str">
        <f aca="false">IF($L243="","",INDEX(Inv_StatutFDS,$L243))</f>
        <v/>
      </c>
      <c r="E243" s="85" t="str">
        <f aca="false">IF($L243="","",IF(INDEX(Inv_DateFDS,$L243)=0,"—",INDEX(Inv_DateFDS,$L243)))</f>
        <v/>
      </c>
      <c r="F243" s="85" t="str">
        <f aca="false">IF($L243="","",IF(INDEX(Inv_ProchVerif,$L243)="","—",INDEX(Inv_ProchVerif,$L243)))</f>
        <v/>
      </c>
      <c r="G243" s="87" t="str">
        <f aca="true">IF($L243="","",IF(OR(F243="—",F243=""),"—",F243-TODAY()))</f>
        <v/>
      </c>
      <c r="H243" s="83" t="str">
        <f aca="false">IF($L243="","",IF(AND(OR(D243="EXPIRÉE",D243="À RENOUVELER",D243="FDS ABSENTE"),J243="—"),"OUI","—"))</f>
        <v/>
      </c>
      <c r="I243" s="85" t="str">
        <f aca="false">IF($L243="","",IF(INDEX(Inv_DemFDS,$L243)=0,"—",INDEX(Inv_DemFDS,$L243)))</f>
        <v/>
      </c>
      <c r="J243" s="85" t="str">
        <f aca="false">IF($L243="","",IF(INDEX(Inv_RecFDS,$L243)=0,"—",INDEX(Inv_RecFDS,$L243)))</f>
        <v/>
      </c>
      <c r="L243" s="0" t="str">
        <f aca="false">IF(ROW()-5&gt;NbProduits,"",MATCH(SMALL(CleFDS,ROW()-5),CleFDS,0))</f>
        <v/>
      </c>
    </row>
    <row r="244" customFormat="false" ht="15" hidden="false" customHeight="false" outlineLevel="0" collapsed="false">
      <c r="A244" s="83" t="str">
        <f aca="false">IF($L244="","",INDEX(Inv_Num,$L244))</f>
        <v/>
      </c>
      <c r="B244" s="67" t="str">
        <f aca="false">IF($L244="","",INDEX(Inv_Nom,$L244))</f>
        <v/>
      </c>
      <c r="C244" s="67" t="str">
        <f aca="false">IF($L244="","",T(INDEX(Inv_Fourn,$L244)))</f>
        <v/>
      </c>
      <c r="D244" s="83" t="str">
        <f aca="false">IF($L244="","",INDEX(Inv_StatutFDS,$L244))</f>
        <v/>
      </c>
      <c r="E244" s="85" t="str">
        <f aca="false">IF($L244="","",IF(INDEX(Inv_DateFDS,$L244)=0,"—",INDEX(Inv_DateFDS,$L244)))</f>
        <v/>
      </c>
      <c r="F244" s="85" t="str">
        <f aca="false">IF($L244="","",IF(INDEX(Inv_ProchVerif,$L244)="","—",INDEX(Inv_ProchVerif,$L244)))</f>
        <v/>
      </c>
      <c r="G244" s="87" t="str">
        <f aca="true">IF($L244="","",IF(OR(F244="—",F244=""),"—",F244-TODAY()))</f>
        <v/>
      </c>
      <c r="H244" s="83" t="str">
        <f aca="false">IF($L244="","",IF(AND(OR(D244="EXPIRÉE",D244="À RENOUVELER",D244="FDS ABSENTE"),J244="—"),"OUI","—"))</f>
        <v/>
      </c>
      <c r="I244" s="85" t="str">
        <f aca="false">IF($L244="","",IF(INDEX(Inv_DemFDS,$L244)=0,"—",INDEX(Inv_DemFDS,$L244)))</f>
        <v/>
      </c>
      <c r="J244" s="85" t="str">
        <f aca="false">IF($L244="","",IF(INDEX(Inv_RecFDS,$L244)=0,"—",INDEX(Inv_RecFDS,$L244)))</f>
        <v/>
      </c>
      <c r="L244" s="0" t="str">
        <f aca="false">IF(ROW()-5&gt;NbProduits,"",MATCH(SMALL(CleFDS,ROW()-5),CleFDS,0))</f>
        <v/>
      </c>
    </row>
    <row r="245" customFormat="false" ht="15" hidden="false" customHeight="false" outlineLevel="0" collapsed="false">
      <c r="A245" s="83" t="str">
        <f aca="false">IF($L245="","",INDEX(Inv_Num,$L245))</f>
        <v/>
      </c>
      <c r="B245" s="67" t="str">
        <f aca="false">IF($L245="","",INDEX(Inv_Nom,$L245))</f>
        <v/>
      </c>
      <c r="C245" s="67" t="str">
        <f aca="false">IF($L245="","",T(INDEX(Inv_Fourn,$L245)))</f>
        <v/>
      </c>
      <c r="D245" s="83" t="str">
        <f aca="false">IF($L245="","",INDEX(Inv_StatutFDS,$L245))</f>
        <v/>
      </c>
      <c r="E245" s="85" t="str">
        <f aca="false">IF($L245="","",IF(INDEX(Inv_DateFDS,$L245)=0,"—",INDEX(Inv_DateFDS,$L245)))</f>
        <v/>
      </c>
      <c r="F245" s="85" t="str">
        <f aca="false">IF($L245="","",IF(INDEX(Inv_ProchVerif,$L245)="","—",INDEX(Inv_ProchVerif,$L245)))</f>
        <v/>
      </c>
      <c r="G245" s="87" t="str">
        <f aca="true">IF($L245="","",IF(OR(F245="—",F245=""),"—",F245-TODAY()))</f>
        <v/>
      </c>
      <c r="H245" s="83" t="str">
        <f aca="false">IF($L245="","",IF(AND(OR(D245="EXPIRÉE",D245="À RENOUVELER",D245="FDS ABSENTE"),J245="—"),"OUI","—"))</f>
        <v/>
      </c>
      <c r="I245" s="85" t="str">
        <f aca="false">IF($L245="","",IF(INDEX(Inv_DemFDS,$L245)=0,"—",INDEX(Inv_DemFDS,$L245)))</f>
        <v/>
      </c>
      <c r="J245" s="85" t="str">
        <f aca="false">IF($L245="","",IF(INDEX(Inv_RecFDS,$L245)=0,"—",INDEX(Inv_RecFDS,$L245)))</f>
        <v/>
      </c>
      <c r="L245" s="0" t="str">
        <f aca="false">IF(ROW()-5&gt;NbProduits,"",MATCH(SMALL(CleFDS,ROW()-5),CleFDS,0))</f>
        <v/>
      </c>
    </row>
    <row r="246" customFormat="false" ht="15" hidden="false" customHeight="false" outlineLevel="0" collapsed="false">
      <c r="A246" s="83" t="str">
        <f aca="false">IF($L246="","",INDEX(Inv_Num,$L246))</f>
        <v/>
      </c>
      <c r="B246" s="67" t="str">
        <f aca="false">IF($L246="","",INDEX(Inv_Nom,$L246))</f>
        <v/>
      </c>
      <c r="C246" s="67" t="str">
        <f aca="false">IF($L246="","",T(INDEX(Inv_Fourn,$L246)))</f>
        <v/>
      </c>
      <c r="D246" s="83" t="str">
        <f aca="false">IF($L246="","",INDEX(Inv_StatutFDS,$L246))</f>
        <v/>
      </c>
      <c r="E246" s="85" t="str">
        <f aca="false">IF($L246="","",IF(INDEX(Inv_DateFDS,$L246)=0,"—",INDEX(Inv_DateFDS,$L246)))</f>
        <v/>
      </c>
      <c r="F246" s="85" t="str">
        <f aca="false">IF($L246="","",IF(INDEX(Inv_ProchVerif,$L246)="","—",INDEX(Inv_ProchVerif,$L246)))</f>
        <v/>
      </c>
      <c r="G246" s="87" t="str">
        <f aca="true">IF($L246="","",IF(OR(F246="—",F246=""),"—",F246-TODAY()))</f>
        <v/>
      </c>
      <c r="H246" s="83" t="str">
        <f aca="false">IF($L246="","",IF(AND(OR(D246="EXPIRÉE",D246="À RENOUVELER",D246="FDS ABSENTE"),J246="—"),"OUI","—"))</f>
        <v/>
      </c>
      <c r="I246" s="85" t="str">
        <f aca="false">IF($L246="","",IF(INDEX(Inv_DemFDS,$L246)=0,"—",INDEX(Inv_DemFDS,$L246)))</f>
        <v/>
      </c>
      <c r="J246" s="85" t="str">
        <f aca="false">IF($L246="","",IF(INDEX(Inv_RecFDS,$L246)=0,"—",INDEX(Inv_RecFDS,$L246)))</f>
        <v/>
      </c>
      <c r="L246" s="0" t="str">
        <f aca="false">IF(ROW()-5&gt;NbProduits,"",MATCH(SMALL(CleFDS,ROW()-5),CleFDS,0))</f>
        <v/>
      </c>
    </row>
    <row r="247" customFormat="false" ht="15" hidden="false" customHeight="false" outlineLevel="0" collapsed="false">
      <c r="A247" s="83" t="str">
        <f aca="false">IF($L247="","",INDEX(Inv_Num,$L247))</f>
        <v/>
      </c>
      <c r="B247" s="67" t="str">
        <f aca="false">IF($L247="","",INDEX(Inv_Nom,$L247))</f>
        <v/>
      </c>
      <c r="C247" s="67" t="str">
        <f aca="false">IF($L247="","",T(INDEX(Inv_Fourn,$L247)))</f>
        <v/>
      </c>
      <c r="D247" s="83" t="str">
        <f aca="false">IF($L247="","",INDEX(Inv_StatutFDS,$L247))</f>
        <v/>
      </c>
      <c r="E247" s="85" t="str">
        <f aca="false">IF($L247="","",IF(INDEX(Inv_DateFDS,$L247)=0,"—",INDEX(Inv_DateFDS,$L247)))</f>
        <v/>
      </c>
      <c r="F247" s="85" t="str">
        <f aca="false">IF($L247="","",IF(INDEX(Inv_ProchVerif,$L247)="","—",INDEX(Inv_ProchVerif,$L247)))</f>
        <v/>
      </c>
      <c r="G247" s="87" t="str">
        <f aca="true">IF($L247="","",IF(OR(F247="—",F247=""),"—",F247-TODAY()))</f>
        <v/>
      </c>
      <c r="H247" s="83" t="str">
        <f aca="false">IF($L247="","",IF(AND(OR(D247="EXPIRÉE",D247="À RENOUVELER",D247="FDS ABSENTE"),J247="—"),"OUI","—"))</f>
        <v/>
      </c>
      <c r="I247" s="85" t="str">
        <f aca="false">IF($L247="","",IF(INDEX(Inv_DemFDS,$L247)=0,"—",INDEX(Inv_DemFDS,$L247)))</f>
        <v/>
      </c>
      <c r="J247" s="85" t="str">
        <f aca="false">IF($L247="","",IF(INDEX(Inv_RecFDS,$L247)=0,"—",INDEX(Inv_RecFDS,$L247)))</f>
        <v/>
      </c>
      <c r="L247" s="0" t="str">
        <f aca="false">IF(ROW()-5&gt;NbProduits,"",MATCH(SMALL(CleFDS,ROW()-5),CleFDS,0))</f>
        <v/>
      </c>
    </row>
    <row r="248" customFormat="false" ht="15" hidden="false" customHeight="false" outlineLevel="0" collapsed="false">
      <c r="A248" s="83" t="str">
        <f aca="false">IF($L248="","",INDEX(Inv_Num,$L248))</f>
        <v/>
      </c>
      <c r="B248" s="67" t="str">
        <f aca="false">IF($L248="","",INDEX(Inv_Nom,$L248))</f>
        <v/>
      </c>
      <c r="C248" s="67" t="str">
        <f aca="false">IF($L248="","",T(INDEX(Inv_Fourn,$L248)))</f>
        <v/>
      </c>
      <c r="D248" s="83" t="str">
        <f aca="false">IF($L248="","",INDEX(Inv_StatutFDS,$L248))</f>
        <v/>
      </c>
      <c r="E248" s="85" t="str">
        <f aca="false">IF($L248="","",IF(INDEX(Inv_DateFDS,$L248)=0,"—",INDEX(Inv_DateFDS,$L248)))</f>
        <v/>
      </c>
      <c r="F248" s="85" t="str">
        <f aca="false">IF($L248="","",IF(INDEX(Inv_ProchVerif,$L248)="","—",INDEX(Inv_ProchVerif,$L248)))</f>
        <v/>
      </c>
      <c r="G248" s="87" t="str">
        <f aca="true">IF($L248="","",IF(OR(F248="—",F248=""),"—",F248-TODAY()))</f>
        <v/>
      </c>
      <c r="H248" s="83" t="str">
        <f aca="false">IF($L248="","",IF(AND(OR(D248="EXPIRÉE",D248="À RENOUVELER",D248="FDS ABSENTE"),J248="—"),"OUI","—"))</f>
        <v/>
      </c>
      <c r="I248" s="85" t="str">
        <f aca="false">IF($L248="","",IF(INDEX(Inv_DemFDS,$L248)=0,"—",INDEX(Inv_DemFDS,$L248)))</f>
        <v/>
      </c>
      <c r="J248" s="85" t="str">
        <f aca="false">IF($L248="","",IF(INDEX(Inv_RecFDS,$L248)=0,"—",INDEX(Inv_RecFDS,$L248)))</f>
        <v/>
      </c>
      <c r="L248" s="0" t="str">
        <f aca="false">IF(ROW()-5&gt;NbProduits,"",MATCH(SMALL(CleFDS,ROW()-5),CleFDS,0))</f>
        <v/>
      </c>
    </row>
    <row r="249" customFormat="false" ht="15" hidden="false" customHeight="false" outlineLevel="0" collapsed="false">
      <c r="A249" s="83" t="str">
        <f aca="false">IF($L249="","",INDEX(Inv_Num,$L249))</f>
        <v/>
      </c>
      <c r="B249" s="67" t="str">
        <f aca="false">IF($L249="","",INDEX(Inv_Nom,$L249))</f>
        <v/>
      </c>
      <c r="C249" s="67" t="str">
        <f aca="false">IF($L249="","",T(INDEX(Inv_Fourn,$L249)))</f>
        <v/>
      </c>
      <c r="D249" s="83" t="str">
        <f aca="false">IF($L249="","",INDEX(Inv_StatutFDS,$L249))</f>
        <v/>
      </c>
      <c r="E249" s="85" t="str">
        <f aca="false">IF($L249="","",IF(INDEX(Inv_DateFDS,$L249)=0,"—",INDEX(Inv_DateFDS,$L249)))</f>
        <v/>
      </c>
      <c r="F249" s="85" t="str">
        <f aca="false">IF($L249="","",IF(INDEX(Inv_ProchVerif,$L249)="","—",INDEX(Inv_ProchVerif,$L249)))</f>
        <v/>
      </c>
      <c r="G249" s="87" t="str">
        <f aca="true">IF($L249="","",IF(OR(F249="—",F249=""),"—",F249-TODAY()))</f>
        <v/>
      </c>
      <c r="H249" s="83" t="str">
        <f aca="false">IF($L249="","",IF(AND(OR(D249="EXPIRÉE",D249="À RENOUVELER",D249="FDS ABSENTE"),J249="—"),"OUI","—"))</f>
        <v/>
      </c>
      <c r="I249" s="85" t="str">
        <f aca="false">IF($L249="","",IF(INDEX(Inv_DemFDS,$L249)=0,"—",INDEX(Inv_DemFDS,$L249)))</f>
        <v/>
      </c>
      <c r="J249" s="85" t="str">
        <f aca="false">IF($L249="","",IF(INDEX(Inv_RecFDS,$L249)=0,"—",INDEX(Inv_RecFDS,$L249)))</f>
        <v/>
      </c>
      <c r="L249" s="0" t="str">
        <f aca="false">IF(ROW()-5&gt;NbProduits,"",MATCH(SMALL(CleFDS,ROW()-5),CleFDS,0))</f>
        <v/>
      </c>
    </row>
    <row r="250" customFormat="false" ht="15" hidden="false" customHeight="false" outlineLevel="0" collapsed="false">
      <c r="A250" s="83" t="str">
        <f aca="false">IF($L250="","",INDEX(Inv_Num,$L250))</f>
        <v/>
      </c>
      <c r="B250" s="67" t="str">
        <f aca="false">IF($L250="","",INDEX(Inv_Nom,$L250))</f>
        <v/>
      </c>
      <c r="C250" s="67" t="str">
        <f aca="false">IF($L250="","",T(INDEX(Inv_Fourn,$L250)))</f>
        <v/>
      </c>
      <c r="D250" s="83" t="str">
        <f aca="false">IF($L250="","",INDEX(Inv_StatutFDS,$L250))</f>
        <v/>
      </c>
      <c r="E250" s="85" t="str">
        <f aca="false">IF($L250="","",IF(INDEX(Inv_DateFDS,$L250)=0,"—",INDEX(Inv_DateFDS,$L250)))</f>
        <v/>
      </c>
      <c r="F250" s="85" t="str">
        <f aca="false">IF($L250="","",IF(INDEX(Inv_ProchVerif,$L250)="","—",INDEX(Inv_ProchVerif,$L250)))</f>
        <v/>
      </c>
      <c r="G250" s="87" t="str">
        <f aca="true">IF($L250="","",IF(OR(F250="—",F250=""),"—",F250-TODAY()))</f>
        <v/>
      </c>
      <c r="H250" s="83" t="str">
        <f aca="false">IF($L250="","",IF(AND(OR(D250="EXPIRÉE",D250="À RENOUVELER",D250="FDS ABSENTE"),J250="—"),"OUI","—"))</f>
        <v/>
      </c>
      <c r="I250" s="85" t="str">
        <f aca="false">IF($L250="","",IF(INDEX(Inv_DemFDS,$L250)=0,"—",INDEX(Inv_DemFDS,$L250)))</f>
        <v/>
      </c>
      <c r="J250" s="85" t="str">
        <f aca="false">IF($L250="","",IF(INDEX(Inv_RecFDS,$L250)=0,"—",INDEX(Inv_RecFDS,$L250)))</f>
        <v/>
      </c>
      <c r="L250" s="0" t="str">
        <f aca="false">IF(ROW()-5&gt;NbProduits,"",MATCH(SMALL(CleFDS,ROW()-5),CleFDS,0))</f>
        <v/>
      </c>
    </row>
    <row r="251" customFormat="false" ht="15" hidden="false" customHeight="false" outlineLevel="0" collapsed="false">
      <c r="A251" s="83" t="str">
        <f aca="false">IF($L251="","",INDEX(Inv_Num,$L251))</f>
        <v/>
      </c>
      <c r="B251" s="67" t="str">
        <f aca="false">IF($L251="","",INDEX(Inv_Nom,$L251))</f>
        <v/>
      </c>
      <c r="C251" s="67" t="str">
        <f aca="false">IF($L251="","",T(INDEX(Inv_Fourn,$L251)))</f>
        <v/>
      </c>
      <c r="D251" s="83" t="str">
        <f aca="false">IF($L251="","",INDEX(Inv_StatutFDS,$L251))</f>
        <v/>
      </c>
      <c r="E251" s="85" t="str">
        <f aca="false">IF($L251="","",IF(INDEX(Inv_DateFDS,$L251)=0,"—",INDEX(Inv_DateFDS,$L251)))</f>
        <v/>
      </c>
      <c r="F251" s="85" t="str">
        <f aca="false">IF($L251="","",IF(INDEX(Inv_ProchVerif,$L251)="","—",INDEX(Inv_ProchVerif,$L251)))</f>
        <v/>
      </c>
      <c r="G251" s="87" t="str">
        <f aca="true">IF($L251="","",IF(OR(F251="—",F251=""),"—",F251-TODAY()))</f>
        <v/>
      </c>
      <c r="H251" s="83" t="str">
        <f aca="false">IF($L251="","",IF(AND(OR(D251="EXPIRÉE",D251="À RENOUVELER",D251="FDS ABSENTE"),J251="—"),"OUI","—"))</f>
        <v/>
      </c>
      <c r="I251" s="85" t="str">
        <f aca="false">IF($L251="","",IF(INDEX(Inv_DemFDS,$L251)=0,"—",INDEX(Inv_DemFDS,$L251)))</f>
        <v/>
      </c>
      <c r="J251" s="85" t="str">
        <f aca="false">IF($L251="","",IF(INDEX(Inv_RecFDS,$L251)=0,"—",INDEX(Inv_RecFDS,$L251)))</f>
        <v/>
      </c>
      <c r="L251" s="0" t="str">
        <f aca="false">IF(ROW()-5&gt;NbProduits,"",MATCH(SMALL(CleFDS,ROW()-5),CleFDS,0))</f>
        <v/>
      </c>
    </row>
    <row r="252" customFormat="false" ht="15" hidden="false" customHeight="false" outlineLevel="0" collapsed="false">
      <c r="A252" s="83" t="str">
        <f aca="false">IF($L252="","",INDEX(Inv_Num,$L252))</f>
        <v/>
      </c>
      <c r="B252" s="67" t="str">
        <f aca="false">IF($L252="","",INDEX(Inv_Nom,$L252))</f>
        <v/>
      </c>
      <c r="C252" s="67" t="str">
        <f aca="false">IF($L252="","",T(INDEX(Inv_Fourn,$L252)))</f>
        <v/>
      </c>
      <c r="D252" s="83" t="str">
        <f aca="false">IF($L252="","",INDEX(Inv_StatutFDS,$L252))</f>
        <v/>
      </c>
      <c r="E252" s="85" t="str">
        <f aca="false">IF($L252="","",IF(INDEX(Inv_DateFDS,$L252)=0,"—",INDEX(Inv_DateFDS,$L252)))</f>
        <v/>
      </c>
      <c r="F252" s="85" t="str">
        <f aca="false">IF($L252="","",IF(INDEX(Inv_ProchVerif,$L252)="","—",INDEX(Inv_ProchVerif,$L252)))</f>
        <v/>
      </c>
      <c r="G252" s="87" t="str">
        <f aca="true">IF($L252="","",IF(OR(F252="—",F252=""),"—",F252-TODAY()))</f>
        <v/>
      </c>
      <c r="H252" s="83" t="str">
        <f aca="false">IF($L252="","",IF(AND(OR(D252="EXPIRÉE",D252="À RENOUVELER",D252="FDS ABSENTE"),J252="—"),"OUI","—"))</f>
        <v/>
      </c>
      <c r="I252" s="85" t="str">
        <f aca="false">IF($L252="","",IF(INDEX(Inv_DemFDS,$L252)=0,"—",INDEX(Inv_DemFDS,$L252)))</f>
        <v/>
      </c>
      <c r="J252" s="85" t="str">
        <f aca="false">IF($L252="","",IF(INDEX(Inv_RecFDS,$L252)=0,"—",INDEX(Inv_RecFDS,$L252)))</f>
        <v/>
      </c>
      <c r="L252" s="0" t="str">
        <f aca="false">IF(ROW()-5&gt;NbProduits,"",MATCH(SMALL(CleFDS,ROW()-5),CleFDS,0))</f>
        <v/>
      </c>
    </row>
    <row r="253" customFormat="false" ht="15" hidden="false" customHeight="false" outlineLevel="0" collapsed="false">
      <c r="A253" s="83" t="str">
        <f aca="false">IF($L253="","",INDEX(Inv_Num,$L253))</f>
        <v/>
      </c>
      <c r="B253" s="67" t="str">
        <f aca="false">IF($L253="","",INDEX(Inv_Nom,$L253))</f>
        <v/>
      </c>
      <c r="C253" s="67" t="str">
        <f aca="false">IF($L253="","",T(INDEX(Inv_Fourn,$L253)))</f>
        <v/>
      </c>
      <c r="D253" s="83" t="str">
        <f aca="false">IF($L253="","",INDEX(Inv_StatutFDS,$L253))</f>
        <v/>
      </c>
      <c r="E253" s="85" t="str">
        <f aca="false">IF($L253="","",IF(INDEX(Inv_DateFDS,$L253)=0,"—",INDEX(Inv_DateFDS,$L253)))</f>
        <v/>
      </c>
      <c r="F253" s="85" t="str">
        <f aca="false">IF($L253="","",IF(INDEX(Inv_ProchVerif,$L253)="","—",INDEX(Inv_ProchVerif,$L253)))</f>
        <v/>
      </c>
      <c r="G253" s="87" t="str">
        <f aca="true">IF($L253="","",IF(OR(F253="—",F253=""),"—",F253-TODAY()))</f>
        <v/>
      </c>
      <c r="H253" s="83" t="str">
        <f aca="false">IF($L253="","",IF(AND(OR(D253="EXPIRÉE",D253="À RENOUVELER",D253="FDS ABSENTE"),J253="—"),"OUI","—"))</f>
        <v/>
      </c>
      <c r="I253" s="85" t="str">
        <f aca="false">IF($L253="","",IF(INDEX(Inv_DemFDS,$L253)=0,"—",INDEX(Inv_DemFDS,$L253)))</f>
        <v/>
      </c>
      <c r="J253" s="85" t="str">
        <f aca="false">IF($L253="","",IF(INDEX(Inv_RecFDS,$L253)=0,"—",INDEX(Inv_RecFDS,$L253)))</f>
        <v/>
      </c>
      <c r="L253" s="0" t="str">
        <f aca="false">IF(ROW()-5&gt;NbProduits,"",MATCH(SMALL(CleFDS,ROW()-5),CleFDS,0))</f>
        <v/>
      </c>
    </row>
    <row r="254" customFormat="false" ht="15" hidden="false" customHeight="false" outlineLevel="0" collapsed="false">
      <c r="A254" s="83" t="str">
        <f aca="false">IF($L254="","",INDEX(Inv_Num,$L254))</f>
        <v/>
      </c>
      <c r="B254" s="67" t="str">
        <f aca="false">IF($L254="","",INDEX(Inv_Nom,$L254))</f>
        <v/>
      </c>
      <c r="C254" s="67" t="str">
        <f aca="false">IF($L254="","",T(INDEX(Inv_Fourn,$L254)))</f>
        <v/>
      </c>
      <c r="D254" s="83" t="str">
        <f aca="false">IF($L254="","",INDEX(Inv_StatutFDS,$L254))</f>
        <v/>
      </c>
      <c r="E254" s="85" t="str">
        <f aca="false">IF($L254="","",IF(INDEX(Inv_DateFDS,$L254)=0,"—",INDEX(Inv_DateFDS,$L254)))</f>
        <v/>
      </c>
      <c r="F254" s="85" t="str">
        <f aca="false">IF($L254="","",IF(INDEX(Inv_ProchVerif,$L254)="","—",INDEX(Inv_ProchVerif,$L254)))</f>
        <v/>
      </c>
      <c r="G254" s="87" t="str">
        <f aca="true">IF($L254="","",IF(OR(F254="—",F254=""),"—",F254-TODAY()))</f>
        <v/>
      </c>
      <c r="H254" s="83" t="str">
        <f aca="false">IF($L254="","",IF(AND(OR(D254="EXPIRÉE",D254="À RENOUVELER",D254="FDS ABSENTE"),J254="—"),"OUI","—"))</f>
        <v/>
      </c>
      <c r="I254" s="85" t="str">
        <f aca="false">IF($L254="","",IF(INDEX(Inv_DemFDS,$L254)=0,"—",INDEX(Inv_DemFDS,$L254)))</f>
        <v/>
      </c>
      <c r="J254" s="85" t="str">
        <f aca="false">IF($L254="","",IF(INDEX(Inv_RecFDS,$L254)=0,"—",INDEX(Inv_RecFDS,$L254)))</f>
        <v/>
      </c>
      <c r="L254" s="0" t="str">
        <f aca="false">IF(ROW()-5&gt;NbProduits,"",MATCH(SMALL(CleFDS,ROW()-5),CleFDS,0))</f>
        <v/>
      </c>
    </row>
    <row r="255" customFormat="false" ht="15" hidden="false" customHeight="false" outlineLevel="0" collapsed="false">
      <c r="A255" s="83" t="str">
        <f aca="false">IF($L255="","",INDEX(Inv_Num,$L255))</f>
        <v/>
      </c>
      <c r="B255" s="67" t="str">
        <f aca="false">IF($L255="","",INDEX(Inv_Nom,$L255))</f>
        <v/>
      </c>
      <c r="C255" s="67" t="str">
        <f aca="false">IF($L255="","",T(INDEX(Inv_Fourn,$L255)))</f>
        <v/>
      </c>
      <c r="D255" s="83" t="str">
        <f aca="false">IF($L255="","",INDEX(Inv_StatutFDS,$L255))</f>
        <v/>
      </c>
      <c r="E255" s="85" t="str">
        <f aca="false">IF($L255="","",IF(INDEX(Inv_DateFDS,$L255)=0,"—",INDEX(Inv_DateFDS,$L255)))</f>
        <v/>
      </c>
      <c r="F255" s="85" t="str">
        <f aca="false">IF($L255="","",IF(INDEX(Inv_ProchVerif,$L255)="","—",INDEX(Inv_ProchVerif,$L255)))</f>
        <v/>
      </c>
      <c r="G255" s="87" t="str">
        <f aca="true">IF($L255="","",IF(OR(F255="—",F255=""),"—",F255-TODAY()))</f>
        <v/>
      </c>
      <c r="H255" s="83" t="str">
        <f aca="false">IF($L255="","",IF(AND(OR(D255="EXPIRÉE",D255="À RENOUVELER",D255="FDS ABSENTE"),J255="—"),"OUI","—"))</f>
        <v/>
      </c>
      <c r="I255" s="85" t="str">
        <f aca="false">IF($L255="","",IF(INDEX(Inv_DemFDS,$L255)=0,"—",INDEX(Inv_DemFDS,$L255)))</f>
        <v/>
      </c>
      <c r="J255" s="85" t="str">
        <f aca="false">IF($L255="","",IF(INDEX(Inv_RecFDS,$L255)=0,"—",INDEX(Inv_RecFDS,$L255)))</f>
        <v/>
      </c>
      <c r="L255" s="0" t="str">
        <f aca="false">IF(ROW()-5&gt;NbProduits,"",MATCH(SMALL(CleFDS,ROW()-5),CleFDS,0))</f>
        <v/>
      </c>
    </row>
    <row r="256" customFormat="false" ht="15" hidden="false" customHeight="false" outlineLevel="0" collapsed="false">
      <c r="A256" s="83" t="str">
        <f aca="false">IF($L256="","",INDEX(Inv_Num,$L256))</f>
        <v/>
      </c>
      <c r="B256" s="67" t="str">
        <f aca="false">IF($L256="","",INDEX(Inv_Nom,$L256))</f>
        <v/>
      </c>
      <c r="C256" s="67" t="str">
        <f aca="false">IF($L256="","",T(INDEX(Inv_Fourn,$L256)))</f>
        <v/>
      </c>
      <c r="D256" s="83" t="str">
        <f aca="false">IF($L256="","",INDEX(Inv_StatutFDS,$L256))</f>
        <v/>
      </c>
      <c r="E256" s="85" t="str">
        <f aca="false">IF($L256="","",IF(INDEX(Inv_DateFDS,$L256)=0,"—",INDEX(Inv_DateFDS,$L256)))</f>
        <v/>
      </c>
      <c r="F256" s="85" t="str">
        <f aca="false">IF($L256="","",IF(INDEX(Inv_ProchVerif,$L256)="","—",INDEX(Inv_ProchVerif,$L256)))</f>
        <v/>
      </c>
      <c r="G256" s="87" t="str">
        <f aca="true">IF($L256="","",IF(OR(F256="—",F256=""),"—",F256-TODAY()))</f>
        <v/>
      </c>
      <c r="H256" s="83" t="str">
        <f aca="false">IF($L256="","",IF(AND(OR(D256="EXPIRÉE",D256="À RENOUVELER",D256="FDS ABSENTE"),J256="—"),"OUI","—"))</f>
        <v/>
      </c>
      <c r="I256" s="85" t="str">
        <f aca="false">IF($L256="","",IF(INDEX(Inv_DemFDS,$L256)=0,"—",INDEX(Inv_DemFDS,$L256)))</f>
        <v/>
      </c>
      <c r="J256" s="85" t="str">
        <f aca="false">IF($L256="","",IF(INDEX(Inv_RecFDS,$L256)=0,"—",INDEX(Inv_RecFDS,$L256)))</f>
        <v/>
      </c>
      <c r="L256" s="0" t="str">
        <f aca="false">IF(ROW()-5&gt;NbProduits,"",MATCH(SMALL(CleFDS,ROW()-5),CleFDS,0))</f>
        <v/>
      </c>
    </row>
    <row r="257" customFormat="false" ht="15" hidden="false" customHeight="false" outlineLevel="0" collapsed="false">
      <c r="A257" s="83" t="str">
        <f aca="false">IF($L257="","",INDEX(Inv_Num,$L257))</f>
        <v/>
      </c>
      <c r="B257" s="67" t="str">
        <f aca="false">IF($L257="","",INDEX(Inv_Nom,$L257))</f>
        <v/>
      </c>
      <c r="C257" s="67" t="str">
        <f aca="false">IF($L257="","",T(INDEX(Inv_Fourn,$L257)))</f>
        <v/>
      </c>
      <c r="D257" s="83" t="str">
        <f aca="false">IF($L257="","",INDEX(Inv_StatutFDS,$L257))</f>
        <v/>
      </c>
      <c r="E257" s="85" t="str">
        <f aca="false">IF($L257="","",IF(INDEX(Inv_DateFDS,$L257)=0,"—",INDEX(Inv_DateFDS,$L257)))</f>
        <v/>
      </c>
      <c r="F257" s="85" t="str">
        <f aca="false">IF($L257="","",IF(INDEX(Inv_ProchVerif,$L257)="","—",INDEX(Inv_ProchVerif,$L257)))</f>
        <v/>
      </c>
      <c r="G257" s="87" t="str">
        <f aca="true">IF($L257="","",IF(OR(F257="—",F257=""),"—",F257-TODAY()))</f>
        <v/>
      </c>
      <c r="H257" s="83" t="str">
        <f aca="false">IF($L257="","",IF(AND(OR(D257="EXPIRÉE",D257="À RENOUVELER",D257="FDS ABSENTE"),J257="—"),"OUI","—"))</f>
        <v/>
      </c>
      <c r="I257" s="85" t="str">
        <f aca="false">IF($L257="","",IF(INDEX(Inv_DemFDS,$L257)=0,"—",INDEX(Inv_DemFDS,$L257)))</f>
        <v/>
      </c>
      <c r="J257" s="85" t="str">
        <f aca="false">IF($L257="","",IF(INDEX(Inv_RecFDS,$L257)=0,"—",INDEX(Inv_RecFDS,$L257)))</f>
        <v/>
      </c>
      <c r="L257" s="0" t="str">
        <f aca="false">IF(ROW()-5&gt;NbProduits,"",MATCH(SMALL(CleFDS,ROW()-5),CleFDS,0))</f>
        <v/>
      </c>
    </row>
    <row r="258" customFormat="false" ht="15" hidden="false" customHeight="false" outlineLevel="0" collapsed="false">
      <c r="A258" s="83" t="str">
        <f aca="false">IF($L258="","",INDEX(Inv_Num,$L258))</f>
        <v/>
      </c>
      <c r="B258" s="67" t="str">
        <f aca="false">IF($L258="","",INDEX(Inv_Nom,$L258))</f>
        <v/>
      </c>
      <c r="C258" s="67" t="str">
        <f aca="false">IF($L258="","",T(INDEX(Inv_Fourn,$L258)))</f>
        <v/>
      </c>
      <c r="D258" s="83" t="str">
        <f aca="false">IF($L258="","",INDEX(Inv_StatutFDS,$L258))</f>
        <v/>
      </c>
      <c r="E258" s="85" t="str">
        <f aca="false">IF($L258="","",IF(INDEX(Inv_DateFDS,$L258)=0,"—",INDEX(Inv_DateFDS,$L258)))</f>
        <v/>
      </c>
      <c r="F258" s="85" t="str">
        <f aca="false">IF($L258="","",IF(INDEX(Inv_ProchVerif,$L258)="","—",INDEX(Inv_ProchVerif,$L258)))</f>
        <v/>
      </c>
      <c r="G258" s="87" t="str">
        <f aca="true">IF($L258="","",IF(OR(F258="—",F258=""),"—",F258-TODAY()))</f>
        <v/>
      </c>
      <c r="H258" s="83" t="str">
        <f aca="false">IF($L258="","",IF(AND(OR(D258="EXPIRÉE",D258="À RENOUVELER",D258="FDS ABSENTE"),J258="—"),"OUI","—"))</f>
        <v/>
      </c>
      <c r="I258" s="85" t="str">
        <f aca="false">IF($L258="","",IF(INDEX(Inv_DemFDS,$L258)=0,"—",INDEX(Inv_DemFDS,$L258)))</f>
        <v/>
      </c>
      <c r="J258" s="85" t="str">
        <f aca="false">IF($L258="","",IF(INDEX(Inv_RecFDS,$L258)=0,"—",INDEX(Inv_RecFDS,$L258)))</f>
        <v/>
      </c>
      <c r="L258" s="0" t="str">
        <f aca="false">IF(ROW()-5&gt;NbProduits,"",MATCH(SMALL(CleFDS,ROW()-5),CleFDS,0))</f>
        <v/>
      </c>
    </row>
    <row r="259" customFormat="false" ht="15" hidden="false" customHeight="false" outlineLevel="0" collapsed="false">
      <c r="A259" s="83" t="str">
        <f aca="false">IF($L259="","",INDEX(Inv_Num,$L259))</f>
        <v/>
      </c>
      <c r="B259" s="67" t="str">
        <f aca="false">IF($L259="","",INDEX(Inv_Nom,$L259))</f>
        <v/>
      </c>
      <c r="C259" s="67" t="str">
        <f aca="false">IF($L259="","",T(INDEX(Inv_Fourn,$L259)))</f>
        <v/>
      </c>
      <c r="D259" s="83" t="str">
        <f aca="false">IF($L259="","",INDEX(Inv_StatutFDS,$L259))</f>
        <v/>
      </c>
      <c r="E259" s="85" t="str">
        <f aca="false">IF($L259="","",IF(INDEX(Inv_DateFDS,$L259)=0,"—",INDEX(Inv_DateFDS,$L259)))</f>
        <v/>
      </c>
      <c r="F259" s="85" t="str">
        <f aca="false">IF($L259="","",IF(INDEX(Inv_ProchVerif,$L259)="","—",INDEX(Inv_ProchVerif,$L259)))</f>
        <v/>
      </c>
      <c r="G259" s="87" t="str">
        <f aca="true">IF($L259="","",IF(OR(F259="—",F259=""),"—",F259-TODAY()))</f>
        <v/>
      </c>
      <c r="H259" s="83" t="str">
        <f aca="false">IF($L259="","",IF(AND(OR(D259="EXPIRÉE",D259="À RENOUVELER",D259="FDS ABSENTE"),J259="—"),"OUI","—"))</f>
        <v/>
      </c>
      <c r="I259" s="85" t="str">
        <f aca="false">IF($L259="","",IF(INDEX(Inv_DemFDS,$L259)=0,"—",INDEX(Inv_DemFDS,$L259)))</f>
        <v/>
      </c>
      <c r="J259" s="85" t="str">
        <f aca="false">IF($L259="","",IF(INDEX(Inv_RecFDS,$L259)=0,"—",INDEX(Inv_RecFDS,$L259)))</f>
        <v/>
      </c>
      <c r="L259" s="0" t="str">
        <f aca="false">IF(ROW()-5&gt;NbProduits,"",MATCH(SMALL(CleFDS,ROW()-5),CleFDS,0))</f>
        <v/>
      </c>
    </row>
    <row r="260" customFormat="false" ht="15" hidden="false" customHeight="false" outlineLevel="0" collapsed="false">
      <c r="A260" s="83" t="str">
        <f aca="false">IF($L260="","",INDEX(Inv_Num,$L260))</f>
        <v/>
      </c>
      <c r="B260" s="67" t="str">
        <f aca="false">IF($L260="","",INDEX(Inv_Nom,$L260))</f>
        <v/>
      </c>
      <c r="C260" s="67" t="str">
        <f aca="false">IF($L260="","",T(INDEX(Inv_Fourn,$L260)))</f>
        <v/>
      </c>
      <c r="D260" s="83" t="str">
        <f aca="false">IF($L260="","",INDEX(Inv_StatutFDS,$L260))</f>
        <v/>
      </c>
      <c r="E260" s="85" t="str">
        <f aca="false">IF($L260="","",IF(INDEX(Inv_DateFDS,$L260)=0,"—",INDEX(Inv_DateFDS,$L260)))</f>
        <v/>
      </c>
      <c r="F260" s="85" t="str">
        <f aca="false">IF($L260="","",IF(INDEX(Inv_ProchVerif,$L260)="","—",INDEX(Inv_ProchVerif,$L260)))</f>
        <v/>
      </c>
      <c r="G260" s="87" t="str">
        <f aca="true">IF($L260="","",IF(OR(F260="—",F260=""),"—",F260-TODAY()))</f>
        <v/>
      </c>
      <c r="H260" s="83" t="str">
        <f aca="false">IF($L260="","",IF(AND(OR(D260="EXPIRÉE",D260="À RENOUVELER",D260="FDS ABSENTE"),J260="—"),"OUI","—"))</f>
        <v/>
      </c>
      <c r="I260" s="85" t="str">
        <f aca="false">IF($L260="","",IF(INDEX(Inv_DemFDS,$L260)=0,"—",INDEX(Inv_DemFDS,$L260)))</f>
        <v/>
      </c>
      <c r="J260" s="85" t="str">
        <f aca="false">IF($L260="","",IF(INDEX(Inv_RecFDS,$L260)=0,"—",INDEX(Inv_RecFDS,$L260)))</f>
        <v/>
      </c>
      <c r="L260" s="0" t="str">
        <f aca="false">IF(ROW()-5&gt;NbProduits,"",MATCH(SMALL(CleFDS,ROW()-5),CleFDS,0))</f>
        <v/>
      </c>
    </row>
    <row r="261" customFormat="false" ht="15" hidden="false" customHeight="false" outlineLevel="0" collapsed="false">
      <c r="A261" s="83" t="str">
        <f aca="false">IF($L261="","",INDEX(Inv_Num,$L261))</f>
        <v/>
      </c>
      <c r="B261" s="67" t="str">
        <f aca="false">IF($L261="","",INDEX(Inv_Nom,$L261))</f>
        <v/>
      </c>
      <c r="C261" s="67" t="str">
        <f aca="false">IF($L261="","",T(INDEX(Inv_Fourn,$L261)))</f>
        <v/>
      </c>
      <c r="D261" s="83" t="str">
        <f aca="false">IF($L261="","",INDEX(Inv_StatutFDS,$L261))</f>
        <v/>
      </c>
      <c r="E261" s="85" t="str">
        <f aca="false">IF($L261="","",IF(INDEX(Inv_DateFDS,$L261)=0,"—",INDEX(Inv_DateFDS,$L261)))</f>
        <v/>
      </c>
      <c r="F261" s="85" t="str">
        <f aca="false">IF($L261="","",IF(INDEX(Inv_ProchVerif,$L261)="","—",INDEX(Inv_ProchVerif,$L261)))</f>
        <v/>
      </c>
      <c r="G261" s="87" t="str">
        <f aca="true">IF($L261="","",IF(OR(F261="—",F261=""),"—",F261-TODAY()))</f>
        <v/>
      </c>
      <c r="H261" s="83" t="str">
        <f aca="false">IF($L261="","",IF(AND(OR(D261="EXPIRÉE",D261="À RENOUVELER",D261="FDS ABSENTE"),J261="—"),"OUI","—"))</f>
        <v/>
      </c>
      <c r="I261" s="85" t="str">
        <f aca="false">IF($L261="","",IF(INDEX(Inv_DemFDS,$L261)=0,"—",INDEX(Inv_DemFDS,$L261)))</f>
        <v/>
      </c>
      <c r="J261" s="85" t="str">
        <f aca="false">IF($L261="","",IF(INDEX(Inv_RecFDS,$L261)=0,"—",INDEX(Inv_RecFDS,$L261)))</f>
        <v/>
      </c>
      <c r="L261" s="0" t="str">
        <f aca="false">IF(ROW()-5&gt;NbProduits,"",MATCH(SMALL(CleFDS,ROW()-5),CleFDS,0))</f>
        <v/>
      </c>
    </row>
    <row r="262" customFormat="false" ht="15" hidden="false" customHeight="false" outlineLevel="0" collapsed="false">
      <c r="A262" s="83" t="str">
        <f aca="false">IF($L262="","",INDEX(Inv_Num,$L262))</f>
        <v/>
      </c>
      <c r="B262" s="67" t="str">
        <f aca="false">IF($L262="","",INDEX(Inv_Nom,$L262))</f>
        <v/>
      </c>
      <c r="C262" s="67" t="str">
        <f aca="false">IF($L262="","",T(INDEX(Inv_Fourn,$L262)))</f>
        <v/>
      </c>
      <c r="D262" s="83" t="str">
        <f aca="false">IF($L262="","",INDEX(Inv_StatutFDS,$L262))</f>
        <v/>
      </c>
      <c r="E262" s="85" t="str">
        <f aca="false">IF($L262="","",IF(INDEX(Inv_DateFDS,$L262)=0,"—",INDEX(Inv_DateFDS,$L262)))</f>
        <v/>
      </c>
      <c r="F262" s="85" t="str">
        <f aca="false">IF($L262="","",IF(INDEX(Inv_ProchVerif,$L262)="","—",INDEX(Inv_ProchVerif,$L262)))</f>
        <v/>
      </c>
      <c r="G262" s="87" t="str">
        <f aca="true">IF($L262="","",IF(OR(F262="—",F262=""),"—",F262-TODAY()))</f>
        <v/>
      </c>
      <c r="H262" s="83" t="str">
        <f aca="false">IF($L262="","",IF(AND(OR(D262="EXPIRÉE",D262="À RENOUVELER",D262="FDS ABSENTE"),J262="—"),"OUI","—"))</f>
        <v/>
      </c>
      <c r="I262" s="85" t="str">
        <f aca="false">IF($L262="","",IF(INDEX(Inv_DemFDS,$L262)=0,"—",INDEX(Inv_DemFDS,$L262)))</f>
        <v/>
      </c>
      <c r="J262" s="85" t="str">
        <f aca="false">IF($L262="","",IF(INDEX(Inv_RecFDS,$L262)=0,"—",INDEX(Inv_RecFDS,$L262)))</f>
        <v/>
      </c>
      <c r="L262" s="0" t="str">
        <f aca="false">IF(ROW()-5&gt;NbProduits,"",MATCH(SMALL(CleFDS,ROW()-5),CleFDS,0))</f>
        <v/>
      </c>
    </row>
    <row r="263" customFormat="false" ht="15" hidden="false" customHeight="false" outlineLevel="0" collapsed="false">
      <c r="A263" s="83" t="str">
        <f aca="false">IF($L263="","",INDEX(Inv_Num,$L263))</f>
        <v/>
      </c>
      <c r="B263" s="67" t="str">
        <f aca="false">IF($L263="","",INDEX(Inv_Nom,$L263))</f>
        <v/>
      </c>
      <c r="C263" s="67" t="str">
        <f aca="false">IF($L263="","",T(INDEX(Inv_Fourn,$L263)))</f>
        <v/>
      </c>
      <c r="D263" s="83" t="str">
        <f aca="false">IF($L263="","",INDEX(Inv_StatutFDS,$L263))</f>
        <v/>
      </c>
      <c r="E263" s="85" t="str">
        <f aca="false">IF($L263="","",IF(INDEX(Inv_DateFDS,$L263)=0,"—",INDEX(Inv_DateFDS,$L263)))</f>
        <v/>
      </c>
      <c r="F263" s="85" t="str">
        <f aca="false">IF($L263="","",IF(INDEX(Inv_ProchVerif,$L263)="","—",INDEX(Inv_ProchVerif,$L263)))</f>
        <v/>
      </c>
      <c r="G263" s="87" t="str">
        <f aca="true">IF($L263="","",IF(OR(F263="—",F263=""),"—",F263-TODAY()))</f>
        <v/>
      </c>
      <c r="H263" s="83" t="str">
        <f aca="false">IF($L263="","",IF(AND(OR(D263="EXPIRÉE",D263="À RENOUVELER",D263="FDS ABSENTE"),J263="—"),"OUI","—"))</f>
        <v/>
      </c>
      <c r="I263" s="85" t="str">
        <f aca="false">IF($L263="","",IF(INDEX(Inv_DemFDS,$L263)=0,"—",INDEX(Inv_DemFDS,$L263)))</f>
        <v/>
      </c>
      <c r="J263" s="85" t="str">
        <f aca="false">IF($L263="","",IF(INDEX(Inv_RecFDS,$L263)=0,"—",INDEX(Inv_RecFDS,$L263)))</f>
        <v/>
      </c>
      <c r="L263" s="0" t="str">
        <f aca="false">IF(ROW()-5&gt;NbProduits,"",MATCH(SMALL(CleFDS,ROW()-5),CleFDS,0))</f>
        <v/>
      </c>
    </row>
    <row r="264" customFormat="false" ht="15" hidden="false" customHeight="false" outlineLevel="0" collapsed="false">
      <c r="A264" s="83" t="str">
        <f aca="false">IF($L264="","",INDEX(Inv_Num,$L264))</f>
        <v/>
      </c>
      <c r="B264" s="67" t="str">
        <f aca="false">IF($L264="","",INDEX(Inv_Nom,$L264))</f>
        <v/>
      </c>
      <c r="C264" s="67" t="str">
        <f aca="false">IF($L264="","",T(INDEX(Inv_Fourn,$L264)))</f>
        <v/>
      </c>
      <c r="D264" s="83" t="str">
        <f aca="false">IF($L264="","",INDEX(Inv_StatutFDS,$L264))</f>
        <v/>
      </c>
      <c r="E264" s="85" t="str">
        <f aca="false">IF($L264="","",IF(INDEX(Inv_DateFDS,$L264)=0,"—",INDEX(Inv_DateFDS,$L264)))</f>
        <v/>
      </c>
      <c r="F264" s="85" t="str">
        <f aca="false">IF($L264="","",IF(INDEX(Inv_ProchVerif,$L264)="","—",INDEX(Inv_ProchVerif,$L264)))</f>
        <v/>
      </c>
      <c r="G264" s="87" t="str">
        <f aca="true">IF($L264="","",IF(OR(F264="—",F264=""),"—",F264-TODAY()))</f>
        <v/>
      </c>
      <c r="H264" s="83" t="str">
        <f aca="false">IF($L264="","",IF(AND(OR(D264="EXPIRÉE",D264="À RENOUVELER",D264="FDS ABSENTE"),J264="—"),"OUI","—"))</f>
        <v/>
      </c>
      <c r="I264" s="85" t="str">
        <f aca="false">IF($L264="","",IF(INDEX(Inv_DemFDS,$L264)=0,"—",INDEX(Inv_DemFDS,$L264)))</f>
        <v/>
      </c>
      <c r="J264" s="85" t="str">
        <f aca="false">IF($L264="","",IF(INDEX(Inv_RecFDS,$L264)=0,"—",INDEX(Inv_RecFDS,$L264)))</f>
        <v/>
      </c>
      <c r="L264" s="0" t="str">
        <f aca="false">IF(ROW()-5&gt;NbProduits,"",MATCH(SMALL(CleFDS,ROW()-5),CleFDS,0))</f>
        <v/>
      </c>
    </row>
    <row r="265" customFormat="false" ht="15" hidden="false" customHeight="false" outlineLevel="0" collapsed="false">
      <c r="A265" s="83" t="str">
        <f aca="false">IF($L265="","",INDEX(Inv_Num,$L265))</f>
        <v/>
      </c>
      <c r="B265" s="67" t="str">
        <f aca="false">IF($L265="","",INDEX(Inv_Nom,$L265))</f>
        <v/>
      </c>
      <c r="C265" s="67" t="str">
        <f aca="false">IF($L265="","",T(INDEX(Inv_Fourn,$L265)))</f>
        <v/>
      </c>
      <c r="D265" s="83" t="str">
        <f aca="false">IF($L265="","",INDEX(Inv_StatutFDS,$L265))</f>
        <v/>
      </c>
      <c r="E265" s="85" t="str">
        <f aca="false">IF($L265="","",IF(INDEX(Inv_DateFDS,$L265)=0,"—",INDEX(Inv_DateFDS,$L265)))</f>
        <v/>
      </c>
      <c r="F265" s="85" t="str">
        <f aca="false">IF($L265="","",IF(INDEX(Inv_ProchVerif,$L265)="","—",INDEX(Inv_ProchVerif,$L265)))</f>
        <v/>
      </c>
      <c r="G265" s="87" t="str">
        <f aca="true">IF($L265="","",IF(OR(F265="—",F265=""),"—",F265-TODAY()))</f>
        <v/>
      </c>
      <c r="H265" s="83" t="str">
        <f aca="false">IF($L265="","",IF(AND(OR(D265="EXPIRÉE",D265="À RENOUVELER",D265="FDS ABSENTE"),J265="—"),"OUI","—"))</f>
        <v/>
      </c>
      <c r="I265" s="85" t="str">
        <f aca="false">IF($L265="","",IF(INDEX(Inv_DemFDS,$L265)=0,"—",INDEX(Inv_DemFDS,$L265)))</f>
        <v/>
      </c>
      <c r="J265" s="85" t="str">
        <f aca="false">IF($L265="","",IF(INDEX(Inv_RecFDS,$L265)=0,"—",INDEX(Inv_RecFDS,$L265)))</f>
        <v/>
      </c>
      <c r="L265" s="0" t="str">
        <f aca="false">IF(ROW()-5&gt;NbProduits,"",MATCH(SMALL(CleFDS,ROW()-5),CleFDS,0))</f>
        <v/>
      </c>
    </row>
    <row r="266" customFormat="false" ht="15" hidden="false" customHeight="false" outlineLevel="0" collapsed="false">
      <c r="A266" s="83" t="str">
        <f aca="false">IF($L266="","",INDEX(Inv_Num,$L266))</f>
        <v/>
      </c>
      <c r="B266" s="67" t="str">
        <f aca="false">IF($L266="","",INDEX(Inv_Nom,$L266))</f>
        <v/>
      </c>
      <c r="C266" s="67" t="str">
        <f aca="false">IF($L266="","",T(INDEX(Inv_Fourn,$L266)))</f>
        <v/>
      </c>
      <c r="D266" s="83" t="str">
        <f aca="false">IF($L266="","",INDEX(Inv_StatutFDS,$L266))</f>
        <v/>
      </c>
      <c r="E266" s="85" t="str">
        <f aca="false">IF($L266="","",IF(INDEX(Inv_DateFDS,$L266)=0,"—",INDEX(Inv_DateFDS,$L266)))</f>
        <v/>
      </c>
      <c r="F266" s="85" t="str">
        <f aca="false">IF($L266="","",IF(INDEX(Inv_ProchVerif,$L266)="","—",INDEX(Inv_ProchVerif,$L266)))</f>
        <v/>
      </c>
      <c r="G266" s="87" t="str">
        <f aca="true">IF($L266="","",IF(OR(F266="—",F266=""),"—",F266-TODAY()))</f>
        <v/>
      </c>
      <c r="H266" s="83" t="str">
        <f aca="false">IF($L266="","",IF(AND(OR(D266="EXPIRÉE",D266="À RENOUVELER",D266="FDS ABSENTE"),J266="—"),"OUI","—"))</f>
        <v/>
      </c>
      <c r="I266" s="85" t="str">
        <f aca="false">IF($L266="","",IF(INDEX(Inv_DemFDS,$L266)=0,"—",INDEX(Inv_DemFDS,$L266)))</f>
        <v/>
      </c>
      <c r="J266" s="85" t="str">
        <f aca="false">IF($L266="","",IF(INDEX(Inv_RecFDS,$L266)=0,"—",INDEX(Inv_RecFDS,$L266)))</f>
        <v/>
      </c>
      <c r="L266" s="0" t="str">
        <f aca="false">IF(ROW()-5&gt;NbProduits,"",MATCH(SMALL(CleFDS,ROW()-5),CleFDS,0))</f>
        <v/>
      </c>
    </row>
    <row r="267" customFormat="false" ht="15" hidden="false" customHeight="false" outlineLevel="0" collapsed="false">
      <c r="A267" s="83" t="str">
        <f aca="false">IF($L267="","",INDEX(Inv_Num,$L267))</f>
        <v/>
      </c>
      <c r="B267" s="67" t="str">
        <f aca="false">IF($L267="","",INDEX(Inv_Nom,$L267))</f>
        <v/>
      </c>
      <c r="C267" s="67" t="str">
        <f aca="false">IF($L267="","",T(INDEX(Inv_Fourn,$L267)))</f>
        <v/>
      </c>
      <c r="D267" s="83" t="str">
        <f aca="false">IF($L267="","",INDEX(Inv_StatutFDS,$L267))</f>
        <v/>
      </c>
      <c r="E267" s="85" t="str">
        <f aca="false">IF($L267="","",IF(INDEX(Inv_DateFDS,$L267)=0,"—",INDEX(Inv_DateFDS,$L267)))</f>
        <v/>
      </c>
      <c r="F267" s="85" t="str">
        <f aca="false">IF($L267="","",IF(INDEX(Inv_ProchVerif,$L267)="","—",INDEX(Inv_ProchVerif,$L267)))</f>
        <v/>
      </c>
      <c r="G267" s="87" t="str">
        <f aca="true">IF($L267="","",IF(OR(F267="—",F267=""),"—",F267-TODAY()))</f>
        <v/>
      </c>
      <c r="H267" s="83" t="str">
        <f aca="false">IF($L267="","",IF(AND(OR(D267="EXPIRÉE",D267="À RENOUVELER",D267="FDS ABSENTE"),J267="—"),"OUI","—"))</f>
        <v/>
      </c>
      <c r="I267" s="85" t="str">
        <f aca="false">IF($L267="","",IF(INDEX(Inv_DemFDS,$L267)=0,"—",INDEX(Inv_DemFDS,$L267)))</f>
        <v/>
      </c>
      <c r="J267" s="85" t="str">
        <f aca="false">IF($L267="","",IF(INDEX(Inv_RecFDS,$L267)=0,"—",INDEX(Inv_RecFDS,$L267)))</f>
        <v/>
      </c>
      <c r="L267" s="0" t="str">
        <f aca="false">IF(ROW()-5&gt;NbProduits,"",MATCH(SMALL(CleFDS,ROW()-5),CleFDS,0))</f>
        <v/>
      </c>
    </row>
    <row r="268" customFormat="false" ht="15" hidden="false" customHeight="false" outlineLevel="0" collapsed="false">
      <c r="A268" s="83" t="str">
        <f aca="false">IF($L268="","",INDEX(Inv_Num,$L268))</f>
        <v/>
      </c>
      <c r="B268" s="67" t="str">
        <f aca="false">IF($L268="","",INDEX(Inv_Nom,$L268))</f>
        <v/>
      </c>
      <c r="C268" s="67" t="str">
        <f aca="false">IF($L268="","",T(INDEX(Inv_Fourn,$L268)))</f>
        <v/>
      </c>
      <c r="D268" s="83" t="str">
        <f aca="false">IF($L268="","",INDEX(Inv_StatutFDS,$L268))</f>
        <v/>
      </c>
      <c r="E268" s="85" t="str">
        <f aca="false">IF($L268="","",IF(INDEX(Inv_DateFDS,$L268)=0,"—",INDEX(Inv_DateFDS,$L268)))</f>
        <v/>
      </c>
      <c r="F268" s="85" t="str">
        <f aca="false">IF($L268="","",IF(INDEX(Inv_ProchVerif,$L268)="","—",INDEX(Inv_ProchVerif,$L268)))</f>
        <v/>
      </c>
      <c r="G268" s="87" t="str">
        <f aca="true">IF($L268="","",IF(OR(F268="—",F268=""),"—",F268-TODAY()))</f>
        <v/>
      </c>
      <c r="H268" s="83" t="str">
        <f aca="false">IF($L268="","",IF(AND(OR(D268="EXPIRÉE",D268="À RENOUVELER",D268="FDS ABSENTE"),J268="—"),"OUI","—"))</f>
        <v/>
      </c>
      <c r="I268" s="85" t="str">
        <f aca="false">IF($L268="","",IF(INDEX(Inv_DemFDS,$L268)=0,"—",INDEX(Inv_DemFDS,$L268)))</f>
        <v/>
      </c>
      <c r="J268" s="85" t="str">
        <f aca="false">IF($L268="","",IF(INDEX(Inv_RecFDS,$L268)=0,"—",INDEX(Inv_RecFDS,$L268)))</f>
        <v/>
      </c>
      <c r="L268" s="0" t="str">
        <f aca="false">IF(ROW()-5&gt;NbProduits,"",MATCH(SMALL(CleFDS,ROW()-5),CleFDS,0))</f>
        <v/>
      </c>
    </row>
    <row r="269" customFormat="false" ht="15" hidden="false" customHeight="false" outlineLevel="0" collapsed="false">
      <c r="A269" s="83" t="str">
        <f aca="false">IF($L269="","",INDEX(Inv_Num,$L269))</f>
        <v/>
      </c>
      <c r="B269" s="67" t="str">
        <f aca="false">IF($L269="","",INDEX(Inv_Nom,$L269))</f>
        <v/>
      </c>
      <c r="C269" s="67" t="str">
        <f aca="false">IF($L269="","",T(INDEX(Inv_Fourn,$L269)))</f>
        <v/>
      </c>
      <c r="D269" s="83" t="str">
        <f aca="false">IF($L269="","",INDEX(Inv_StatutFDS,$L269))</f>
        <v/>
      </c>
      <c r="E269" s="85" t="str">
        <f aca="false">IF($L269="","",IF(INDEX(Inv_DateFDS,$L269)=0,"—",INDEX(Inv_DateFDS,$L269)))</f>
        <v/>
      </c>
      <c r="F269" s="85" t="str">
        <f aca="false">IF($L269="","",IF(INDEX(Inv_ProchVerif,$L269)="","—",INDEX(Inv_ProchVerif,$L269)))</f>
        <v/>
      </c>
      <c r="G269" s="87" t="str">
        <f aca="true">IF($L269="","",IF(OR(F269="—",F269=""),"—",F269-TODAY()))</f>
        <v/>
      </c>
      <c r="H269" s="83" t="str">
        <f aca="false">IF($L269="","",IF(AND(OR(D269="EXPIRÉE",D269="À RENOUVELER",D269="FDS ABSENTE"),J269="—"),"OUI","—"))</f>
        <v/>
      </c>
      <c r="I269" s="85" t="str">
        <f aca="false">IF($L269="","",IF(INDEX(Inv_DemFDS,$L269)=0,"—",INDEX(Inv_DemFDS,$L269)))</f>
        <v/>
      </c>
      <c r="J269" s="85" t="str">
        <f aca="false">IF($L269="","",IF(INDEX(Inv_RecFDS,$L269)=0,"—",INDEX(Inv_RecFDS,$L269)))</f>
        <v/>
      </c>
      <c r="L269" s="0" t="str">
        <f aca="false">IF(ROW()-5&gt;NbProduits,"",MATCH(SMALL(CleFDS,ROW()-5),CleFDS,0))</f>
        <v/>
      </c>
    </row>
    <row r="270" customFormat="false" ht="15" hidden="false" customHeight="false" outlineLevel="0" collapsed="false">
      <c r="A270" s="83" t="str">
        <f aca="false">IF($L270="","",INDEX(Inv_Num,$L270))</f>
        <v/>
      </c>
      <c r="B270" s="67" t="str">
        <f aca="false">IF($L270="","",INDEX(Inv_Nom,$L270))</f>
        <v/>
      </c>
      <c r="C270" s="67" t="str">
        <f aca="false">IF($L270="","",T(INDEX(Inv_Fourn,$L270)))</f>
        <v/>
      </c>
      <c r="D270" s="83" t="str">
        <f aca="false">IF($L270="","",INDEX(Inv_StatutFDS,$L270))</f>
        <v/>
      </c>
      <c r="E270" s="85" t="str">
        <f aca="false">IF($L270="","",IF(INDEX(Inv_DateFDS,$L270)=0,"—",INDEX(Inv_DateFDS,$L270)))</f>
        <v/>
      </c>
      <c r="F270" s="85" t="str">
        <f aca="false">IF($L270="","",IF(INDEX(Inv_ProchVerif,$L270)="","—",INDEX(Inv_ProchVerif,$L270)))</f>
        <v/>
      </c>
      <c r="G270" s="87" t="str">
        <f aca="true">IF($L270="","",IF(OR(F270="—",F270=""),"—",F270-TODAY()))</f>
        <v/>
      </c>
      <c r="H270" s="83" t="str">
        <f aca="false">IF($L270="","",IF(AND(OR(D270="EXPIRÉE",D270="À RENOUVELER",D270="FDS ABSENTE"),J270="—"),"OUI","—"))</f>
        <v/>
      </c>
      <c r="I270" s="85" t="str">
        <f aca="false">IF($L270="","",IF(INDEX(Inv_DemFDS,$L270)=0,"—",INDEX(Inv_DemFDS,$L270)))</f>
        <v/>
      </c>
      <c r="J270" s="85" t="str">
        <f aca="false">IF($L270="","",IF(INDEX(Inv_RecFDS,$L270)=0,"—",INDEX(Inv_RecFDS,$L270)))</f>
        <v/>
      </c>
      <c r="L270" s="0" t="str">
        <f aca="false">IF(ROW()-5&gt;NbProduits,"",MATCH(SMALL(CleFDS,ROW()-5),CleFDS,0))</f>
        <v/>
      </c>
    </row>
    <row r="271" customFormat="false" ht="15" hidden="false" customHeight="false" outlineLevel="0" collapsed="false">
      <c r="A271" s="83" t="str">
        <f aca="false">IF($L271="","",INDEX(Inv_Num,$L271))</f>
        <v/>
      </c>
      <c r="B271" s="67" t="str">
        <f aca="false">IF($L271="","",INDEX(Inv_Nom,$L271))</f>
        <v/>
      </c>
      <c r="C271" s="67" t="str">
        <f aca="false">IF($L271="","",T(INDEX(Inv_Fourn,$L271)))</f>
        <v/>
      </c>
      <c r="D271" s="83" t="str">
        <f aca="false">IF($L271="","",INDEX(Inv_StatutFDS,$L271))</f>
        <v/>
      </c>
      <c r="E271" s="85" t="str">
        <f aca="false">IF($L271="","",IF(INDEX(Inv_DateFDS,$L271)=0,"—",INDEX(Inv_DateFDS,$L271)))</f>
        <v/>
      </c>
      <c r="F271" s="85" t="str">
        <f aca="false">IF($L271="","",IF(INDEX(Inv_ProchVerif,$L271)="","—",INDEX(Inv_ProchVerif,$L271)))</f>
        <v/>
      </c>
      <c r="G271" s="87" t="str">
        <f aca="true">IF($L271="","",IF(OR(F271="—",F271=""),"—",F271-TODAY()))</f>
        <v/>
      </c>
      <c r="H271" s="83" t="str">
        <f aca="false">IF($L271="","",IF(AND(OR(D271="EXPIRÉE",D271="À RENOUVELER",D271="FDS ABSENTE"),J271="—"),"OUI","—"))</f>
        <v/>
      </c>
      <c r="I271" s="85" t="str">
        <f aca="false">IF($L271="","",IF(INDEX(Inv_DemFDS,$L271)=0,"—",INDEX(Inv_DemFDS,$L271)))</f>
        <v/>
      </c>
      <c r="J271" s="85" t="str">
        <f aca="false">IF($L271="","",IF(INDEX(Inv_RecFDS,$L271)=0,"—",INDEX(Inv_RecFDS,$L271)))</f>
        <v/>
      </c>
      <c r="L271" s="0" t="str">
        <f aca="false">IF(ROW()-5&gt;NbProduits,"",MATCH(SMALL(CleFDS,ROW()-5),CleFDS,0))</f>
        <v/>
      </c>
    </row>
    <row r="272" customFormat="false" ht="15" hidden="false" customHeight="false" outlineLevel="0" collapsed="false">
      <c r="A272" s="83" t="str">
        <f aca="false">IF($L272="","",INDEX(Inv_Num,$L272))</f>
        <v/>
      </c>
      <c r="B272" s="67" t="str">
        <f aca="false">IF($L272="","",INDEX(Inv_Nom,$L272))</f>
        <v/>
      </c>
      <c r="C272" s="67" t="str">
        <f aca="false">IF($L272="","",T(INDEX(Inv_Fourn,$L272)))</f>
        <v/>
      </c>
      <c r="D272" s="83" t="str">
        <f aca="false">IF($L272="","",INDEX(Inv_StatutFDS,$L272))</f>
        <v/>
      </c>
      <c r="E272" s="85" t="str">
        <f aca="false">IF($L272="","",IF(INDEX(Inv_DateFDS,$L272)=0,"—",INDEX(Inv_DateFDS,$L272)))</f>
        <v/>
      </c>
      <c r="F272" s="85" t="str">
        <f aca="false">IF($L272="","",IF(INDEX(Inv_ProchVerif,$L272)="","—",INDEX(Inv_ProchVerif,$L272)))</f>
        <v/>
      </c>
      <c r="G272" s="87" t="str">
        <f aca="true">IF($L272="","",IF(OR(F272="—",F272=""),"—",F272-TODAY()))</f>
        <v/>
      </c>
      <c r="H272" s="83" t="str">
        <f aca="false">IF($L272="","",IF(AND(OR(D272="EXPIRÉE",D272="À RENOUVELER",D272="FDS ABSENTE"),J272="—"),"OUI","—"))</f>
        <v/>
      </c>
      <c r="I272" s="85" t="str">
        <f aca="false">IF($L272="","",IF(INDEX(Inv_DemFDS,$L272)=0,"—",INDEX(Inv_DemFDS,$L272)))</f>
        <v/>
      </c>
      <c r="J272" s="85" t="str">
        <f aca="false">IF($L272="","",IF(INDEX(Inv_RecFDS,$L272)=0,"—",INDEX(Inv_RecFDS,$L272)))</f>
        <v/>
      </c>
      <c r="L272" s="0" t="str">
        <f aca="false">IF(ROW()-5&gt;NbProduits,"",MATCH(SMALL(CleFDS,ROW()-5),CleFDS,0))</f>
        <v/>
      </c>
    </row>
    <row r="273" customFormat="false" ht="15" hidden="false" customHeight="false" outlineLevel="0" collapsed="false">
      <c r="A273" s="83" t="str">
        <f aca="false">IF($L273="","",INDEX(Inv_Num,$L273))</f>
        <v/>
      </c>
      <c r="B273" s="67" t="str">
        <f aca="false">IF($L273="","",INDEX(Inv_Nom,$L273))</f>
        <v/>
      </c>
      <c r="C273" s="67" t="str">
        <f aca="false">IF($L273="","",T(INDEX(Inv_Fourn,$L273)))</f>
        <v/>
      </c>
      <c r="D273" s="83" t="str">
        <f aca="false">IF($L273="","",INDEX(Inv_StatutFDS,$L273))</f>
        <v/>
      </c>
      <c r="E273" s="85" t="str">
        <f aca="false">IF($L273="","",IF(INDEX(Inv_DateFDS,$L273)=0,"—",INDEX(Inv_DateFDS,$L273)))</f>
        <v/>
      </c>
      <c r="F273" s="85" t="str">
        <f aca="false">IF($L273="","",IF(INDEX(Inv_ProchVerif,$L273)="","—",INDEX(Inv_ProchVerif,$L273)))</f>
        <v/>
      </c>
      <c r="G273" s="87" t="str">
        <f aca="true">IF($L273="","",IF(OR(F273="—",F273=""),"—",F273-TODAY()))</f>
        <v/>
      </c>
      <c r="H273" s="83" t="str">
        <f aca="false">IF($L273="","",IF(AND(OR(D273="EXPIRÉE",D273="À RENOUVELER",D273="FDS ABSENTE"),J273="—"),"OUI","—"))</f>
        <v/>
      </c>
      <c r="I273" s="85" t="str">
        <f aca="false">IF($L273="","",IF(INDEX(Inv_DemFDS,$L273)=0,"—",INDEX(Inv_DemFDS,$L273)))</f>
        <v/>
      </c>
      <c r="J273" s="85" t="str">
        <f aca="false">IF($L273="","",IF(INDEX(Inv_RecFDS,$L273)=0,"—",INDEX(Inv_RecFDS,$L273)))</f>
        <v/>
      </c>
      <c r="L273" s="0" t="str">
        <f aca="false">IF(ROW()-5&gt;NbProduits,"",MATCH(SMALL(CleFDS,ROW()-5),CleFDS,0))</f>
        <v/>
      </c>
    </row>
    <row r="274" customFormat="false" ht="15" hidden="false" customHeight="false" outlineLevel="0" collapsed="false">
      <c r="A274" s="83" t="str">
        <f aca="false">IF($L274="","",INDEX(Inv_Num,$L274))</f>
        <v/>
      </c>
      <c r="B274" s="67" t="str">
        <f aca="false">IF($L274="","",INDEX(Inv_Nom,$L274))</f>
        <v/>
      </c>
      <c r="C274" s="67" t="str">
        <f aca="false">IF($L274="","",T(INDEX(Inv_Fourn,$L274)))</f>
        <v/>
      </c>
      <c r="D274" s="83" t="str">
        <f aca="false">IF($L274="","",INDEX(Inv_StatutFDS,$L274))</f>
        <v/>
      </c>
      <c r="E274" s="85" t="str">
        <f aca="false">IF($L274="","",IF(INDEX(Inv_DateFDS,$L274)=0,"—",INDEX(Inv_DateFDS,$L274)))</f>
        <v/>
      </c>
      <c r="F274" s="85" t="str">
        <f aca="false">IF($L274="","",IF(INDEX(Inv_ProchVerif,$L274)="","—",INDEX(Inv_ProchVerif,$L274)))</f>
        <v/>
      </c>
      <c r="G274" s="87" t="str">
        <f aca="true">IF($L274="","",IF(OR(F274="—",F274=""),"—",F274-TODAY()))</f>
        <v/>
      </c>
      <c r="H274" s="83" t="str">
        <f aca="false">IF($L274="","",IF(AND(OR(D274="EXPIRÉE",D274="À RENOUVELER",D274="FDS ABSENTE"),J274="—"),"OUI","—"))</f>
        <v/>
      </c>
      <c r="I274" s="85" t="str">
        <f aca="false">IF($L274="","",IF(INDEX(Inv_DemFDS,$L274)=0,"—",INDEX(Inv_DemFDS,$L274)))</f>
        <v/>
      </c>
      <c r="J274" s="85" t="str">
        <f aca="false">IF($L274="","",IF(INDEX(Inv_RecFDS,$L274)=0,"—",INDEX(Inv_RecFDS,$L274)))</f>
        <v/>
      </c>
      <c r="L274" s="0" t="str">
        <f aca="false">IF(ROW()-5&gt;NbProduits,"",MATCH(SMALL(CleFDS,ROW()-5),CleFDS,0))</f>
        <v/>
      </c>
    </row>
    <row r="275" customFormat="false" ht="15" hidden="false" customHeight="false" outlineLevel="0" collapsed="false">
      <c r="A275" s="83" t="str">
        <f aca="false">IF($L275="","",INDEX(Inv_Num,$L275))</f>
        <v/>
      </c>
      <c r="B275" s="67" t="str">
        <f aca="false">IF($L275="","",INDEX(Inv_Nom,$L275))</f>
        <v/>
      </c>
      <c r="C275" s="67" t="str">
        <f aca="false">IF($L275="","",T(INDEX(Inv_Fourn,$L275)))</f>
        <v/>
      </c>
      <c r="D275" s="83" t="str">
        <f aca="false">IF($L275="","",INDEX(Inv_StatutFDS,$L275))</f>
        <v/>
      </c>
      <c r="E275" s="85" t="str">
        <f aca="false">IF($L275="","",IF(INDEX(Inv_DateFDS,$L275)=0,"—",INDEX(Inv_DateFDS,$L275)))</f>
        <v/>
      </c>
      <c r="F275" s="85" t="str">
        <f aca="false">IF($L275="","",IF(INDEX(Inv_ProchVerif,$L275)="","—",INDEX(Inv_ProchVerif,$L275)))</f>
        <v/>
      </c>
      <c r="G275" s="87" t="str">
        <f aca="true">IF($L275="","",IF(OR(F275="—",F275=""),"—",F275-TODAY()))</f>
        <v/>
      </c>
      <c r="H275" s="83" t="str">
        <f aca="false">IF($L275="","",IF(AND(OR(D275="EXPIRÉE",D275="À RENOUVELER",D275="FDS ABSENTE"),J275="—"),"OUI","—"))</f>
        <v/>
      </c>
      <c r="I275" s="85" t="str">
        <f aca="false">IF($L275="","",IF(INDEX(Inv_DemFDS,$L275)=0,"—",INDEX(Inv_DemFDS,$L275)))</f>
        <v/>
      </c>
      <c r="J275" s="85" t="str">
        <f aca="false">IF($L275="","",IF(INDEX(Inv_RecFDS,$L275)=0,"—",INDEX(Inv_RecFDS,$L275)))</f>
        <v/>
      </c>
      <c r="L275" s="0" t="str">
        <f aca="false">IF(ROW()-5&gt;NbProduits,"",MATCH(SMALL(CleFDS,ROW()-5),CleFDS,0))</f>
        <v/>
      </c>
    </row>
    <row r="276" customFormat="false" ht="15" hidden="false" customHeight="false" outlineLevel="0" collapsed="false">
      <c r="A276" s="83" t="str">
        <f aca="false">IF($L276="","",INDEX(Inv_Num,$L276))</f>
        <v/>
      </c>
      <c r="B276" s="67" t="str">
        <f aca="false">IF($L276="","",INDEX(Inv_Nom,$L276))</f>
        <v/>
      </c>
      <c r="C276" s="67" t="str">
        <f aca="false">IF($L276="","",T(INDEX(Inv_Fourn,$L276)))</f>
        <v/>
      </c>
      <c r="D276" s="83" t="str">
        <f aca="false">IF($L276="","",INDEX(Inv_StatutFDS,$L276))</f>
        <v/>
      </c>
      <c r="E276" s="85" t="str">
        <f aca="false">IF($L276="","",IF(INDEX(Inv_DateFDS,$L276)=0,"—",INDEX(Inv_DateFDS,$L276)))</f>
        <v/>
      </c>
      <c r="F276" s="85" t="str">
        <f aca="false">IF($L276="","",IF(INDEX(Inv_ProchVerif,$L276)="","—",INDEX(Inv_ProchVerif,$L276)))</f>
        <v/>
      </c>
      <c r="G276" s="87" t="str">
        <f aca="true">IF($L276="","",IF(OR(F276="—",F276=""),"—",F276-TODAY()))</f>
        <v/>
      </c>
      <c r="H276" s="83" t="str">
        <f aca="false">IF($L276="","",IF(AND(OR(D276="EXPIRÉE",D276="À RENOUVELER",D276="FDS ABSENTE"),J276="—"),"OUI","—"))</f>
        <v/>
      </c>
      <c r="I276" s="85" t="str">
        <f aca="false">IF($L276="","",IF(INDEX(Inv_DemFDS,$L276)=0,"—",INDEX(Inv_DemFDS,$L276)))</f>
        <v/>
      </c>
      <c r="J276" s="85" t="str">
        <f aca="false">IF($L276="","",IF(INDEX(Inv_RecFDS,$L276)=0,"—",INDEX(Inv_RecFDS,$L276)))</f>
        <v/>
      </c>
      <c r="L276" s="0" t="str">
        <f aca="false">IF(ROW()-5&gt;NbProduits,"",MATCH(SMALL(CleFDS,ROW()-5),CleFDS,0))</f>
        <v/>
      </c>
    </row>
    <row r="277" customFormat="false" ht="15" hidden="false" customHeight="false" outlineLevel="0" collapsed="false">
      <c r="A277" s="83" t="str">
        <f aca="false">IF($L277="","",INDEX(Inv_Num,$L277))</f>
        <v/>
      </c>
      <c r="B277" s="67" t="str">
        <f aca="false">IF($L277="","",INDEX(Inv_Nom,$L277))</f>
        <v/>
      </c>
      <c r="C277" s="67" t="str">
        <f aca="false">IF($L277="","",T(INDEX(Inv_Fourn,$L277)))</f>
        <v/>
      </c>
      <c r="D277" s="83" t="str">
        <f aca="false">IF($L277="","",INDEX(Inv_StatutFDS,$L277))</f>
        <v/>
      </c>
      <c r="E277" s="85" t="str">
        <f aca="false">IF($L277="","",IF(INDEX(Inv_DateFDS,$L277)=0,"—",INDEX(Inv_DateFDS,$L277)))</f>
        <v/>
      </c>
      <c r="F277" s="85" t="str">
        <f aca="false">IF($L277="","",IF(INDEX(Inv_ProchVerif,$L277)="","—",INDEX(Inv_ProchVerif,$L277)))</f>
        <v/>
      </c>
      <c r="G277" s="87" t="str">
        <f aca="true">IF($L277="","",IF(OR(F277="—",F277=""),"—",F277-TODAY()))</f>
        <v/>
      </c>
      <c r="H277" s="83" t="str">
        <f aca="false">IF($L277="","",IF(AND(OR(D277="EXPIRÉE",D277="À RENOUVELER",D277="FDS ABSENTE"),J277="—"),"OUI","—"))</f>
        <v/>
      </c>
      <c r="I277" s="85" t="str">
        <f aca="false">IF($L277="","",IF(INDEX(Inv_DemFDS,$L277)=0,"—",INDEX(Inv_DemFDS,$L277)))</f>
        <v/>
      </c>
      <c r="J277" s="85" t="str">
        <f aca="false">IF($L277="","",IF(INDEX(Inv_RecFDS,$L277)=0,"—",INDEX(Inv_RecFDS,$L277)))</f>
        <v/>
      </c>
      <c r="L277" s="0" t="str">
        <f aca="false">IF(ROW()-5&gt;NbProduits,"",MATCH(SMALL(CleFDS,ROW()-5),CleFDS,0))</f>
        <v/>
      </c>
    </row>
    <row r="278" customFormat="false" ht="15" hidden="false" customHeight="false" outlineLevel="0" collapsed="false">
      <c r="A278" s="83" t="str">
        <f aca="false">IF($L278="","",INDEX(Inv_Num,$L278))</f>
        <v/>
      </c>
      <c r="B278" s="67" t="str">
        <f aca="false">IF($L278="","",INDEX(Inv_Nom,$L278))</f>
        <v/>
      </c>
      <c r="C278" s="67" t="str">
        <f aca="false">IF($L278="","",T(INDEX(Inv_Fourn,$L278)))</f>
        <v/>
      </c>
      <c r="D278" s="83" t="str">
        <f aca="false">IF($L278="","",INDEX(Inv_StatutFDS,$L278))</f>
        <v/>
      </c>
      <c r="E278" s="85" t="str">
        <f aca="false">IF($L278="","",IF(INDEX(Inv_DateFDS,$L278)=0,"—",INDEX(Inv_DateFDS,$L278)))</f>
        <v/>
      </c>
      <c r="F278" s="85" t="str">
        <f aca="false">IF($L278="","",IF(INDEX(Inv_ProchVerif,$L278)="","—",INDEX(Inv_ProchVerif,$L278)))</f>
        <v/>
      </c>
      <c r="G278" s="87" t="str">
        <f aca="true">IF($L278="","",IF(OR(F278="—",F278=""),"—",F278-TODAY()))</f>
        <v/>
      </c>
      <c r="H278" s="83" t="str">
        <f aca="false">IF($L278="","",IF(AND(OR(D278="EXPIRÉE",D278="À RENOUVELER",D278="FDS ABSENTE"),J278="—"),"OUI","—"))</f>
        <v/>
      </c>
      <c r="I278" s="85" t="str">
        <f aca="false">IF($L278="","",IF(INDEX(Inv_DemFDS,$L278)=0,"—",INDEX(Inv_DemFDS,$L278)))</f>
        <v/>
      </c>
      <c r="J278" s="85" t="str">
        <f aca="false">IF($L278="","",IF(INDEX(Inv_RecFDS,$L278)=0,"—",INDEX(Inv_RecFDS,$L278)))</f>
        <v/>
      </c>
      <c r="L278" s="0" t="str">
        <f aca="false">IF(ROW()-5&gt;NbProduits,"",MATCH(SMALL(CleFDS,ROW()-5),CleFDS,0))</f>
        <v/>
      </c>
    </row>
    <row r="279" customFormat="false" ht="15" hidden="false" customHeight="false" outlineLevel="0" collapsed="false">
      <c r="A279" s="83" t="str">
        <f aca="false">IF($L279="","",INDEX(Inv_Num,$L279))</f>
        <v/>
      </c>
      <c r="B279" s="67" t="str">
        <f aca="false">IF($L279="","",INDEX(Inv_Nom,$L279))</f>
        <v/>
      </c>
      <c r="C279" s="67" t="str">
        <f aca="false">IF($L279="","",T(INDEX(Inv_Fourn,$L279)))</f>
        <v/>
      </c>
      <c r="D279" s="83" t="str">
        <f aca="false">IF($L279="","",INDEX(Inv_StatutFDS,$L279))</f>
        <v/>
      </c>
      <c r="E279" s="85" t="str">
        <f aca="false">IF($L279="","",IF(INDEX(Inv_DateFDS,$L279)=0,"—",INDEX(Inv_DateFDS,$L279)))</f>
        <v/>
      </c>
      <c r="F279" s="85" t="str">
        <f aca="false">IF($L279="","",IF(INDEX(Inv_ProchVerif,$L279)="","—",INDEX(Inv_ProchVerif,$L279)))</f>
        <v/>
      </c>
      <c r="G279" s="87" t="str">
        <f aca="true">IF($L279="","",IF(OR(F279="—",F279=""),"—",F279-TODAY()))</f>
        <v/>
      </c>
      <c r="H279" s="83" t="str">
        <f aca="false">IF($L279="","",IF(AND(OR(D279="EXPIRÉE",D279="À RENOUVELER",D279="FDS ABSENTE"),J279="—"),"OUI","—"))</f>
        <v/>
      </c>
      <c r="I279" s="85" t="str">
        <f aca="false">IF($L279="","",IF(INDEX(Inv_DemFDS,$L279)=0,"—",INDEX(Inv_DemFDS,$L279)))</f>
        <v/>
      </c>
      <c r="J279" s="85" t="str">
        <f aca="false">IF($L279="","",IF(INDEX(Inv_RecFDS,$L279)=0,"—",INDEX(Inv_RecFDS,$L279)))</f>
        <v/>
      </c>
      <c r="L279" s="0" t="str">
        <f aca="false">IF(ROW()-5&gt;NbProduits,"",MATCH(SMALL(CleFDS,ROW()-5),CleFDS,0))</f>
        <v/>
      </c>
    </row>
    <row r="280" customFormat="false" ht="15" hidden="false" customHeight="false" outlineLevel="0" collapsed="false">
      <c r="A280" s="83" t="str">
        <f aca="false">IF($L280="","",INDEX(Inv_Num,$L280))</f>
        <v/>
      </c>
      <c r="B280" s="67" t="str">
        <f aca="false">IF($L280="","",INDEX(Inv_Nom,$L280))</f>
        <v/>
      </c>
      <c r="C280" s="67" t="str">
        <f aca="false">IF($L280="","",T(INDEX(Inv_Fourn,$L280)))</f>
        <v/>
      </c>
      <c r="D280" s="83" t="str">
        <f aca="false">IF($L280="","",INDEX(Inv_StatutFDS,$L280))</f>
        <v/>
      </c>
      <c r="E280" s="85" t="str">
        <f aca="false">IF($L280="","",IF(INDEX(Inv_DateFDS,$L280)=0,"—",INDEX(Inv_DateFDS,$L280)))</f>
        <v/>
      </c>
      <c r="F280" s="85" t="str">
        <f aca="false">IF($L280="","",IF(INDEX(Inv_ProchVerif,$L280)="","—",INDEX(Inv_ProchVerif,$L280)))</f>
        <v/>
      </c>
      <c r="G280" s="87" t="str">
        <f aca="true">IF($L280="","",IF(OR(F280="—",F280=""),"—",F280-TODAY()))</f>
        <v/>
      </c>
      <c r="H280" s="83" t="str">
        <f aca="false">IF($L280="","",IF(AND(OR(D280="EXPIRÉE",D280="À RENOUVELER",D280="FDS ABSENTE"),J280="—"),"OUI","—"))</f>
        <v/>
      </c>
      <c r="I280" s="85" t="str">
        <f aca="false">IF($L280="","",IF(INDEX(Inv_DemFDS,$L280)=0,"—",INDEX(Inv_DemFDS,$L280)))</f>
        <v/>
      </c>
      <c r="J280" s="85" t="str">
        <f aca="false">IF($L280="","",IF(INDEX(Inv_RecFDS,$L280)=0,"—",INDEX(Inv_RecFDS,$L280)))</f>
        <v/>
      </c>
      <c r="L280" s="0" t="str">
        <f aca="false">IF(ROW()-5&gt;NbProduits,"",MATCH(SMALL(CleFDS,ROW()-5),CleFDS,0))</f>
        <v/>
      </c>
    </row>
    <row r="281" customFormat="false" ht="15" hidden="false" customHeight="false" outlineLevel="0" collapsed="false">
      <c r="A281" s="83" t="str">
        <f aca="false">IF($L281="","",INDEX(Inv_Num,$L281))</f>
        <v/>
      </c>
      <c r="B281" s="67" t="str">
        <f aca="false">IF($L281="","",INDEX(Inv_Nom,$L281))</f>
        <v/>
      </c>
      <c r="C281" s="67" t="str">
        <f aca="false">IF($L281="","",T(INDEX(Inv_Fourn,$L281)))</f>
        <v/>
      </c>
      <c r="D281" s="83" t="str">
        <f aca="false">IF($L281="","",INDEX(Inv_StatutFDS,$L281))</f>
        <v/>
      </c>
      <c r="E281" s="85" t="str">
        <f aca="false">IF($L281="","",IF(INDEX(Inv_DateFDS,$L281)=0,"—",INDEX(Inv_DateFDS,$L281)))</f>
        <v/>
      </c>
      <c r="F281" s="85" t="str">
        <f aca="false">IF($L281="","",IF(INDEX(Inv_ProchVerif,$L281)="","—",INDEX(Inv_ProchVerif,$L281)))</f>
        <v/>
      </c>
      <c r="G281" s="87" t="str">
        <f aca="true">IF($L281="","",IF(OR(F281="—",F281=""),"—",F281-TODAY()))</f>
        <v/>
      </c>
      <c r="H281" s="83" t="str">
        <f aca="false">IF($L281="","",IF(AND(OR(D281="EXPIRÉE",D281="À RENOUVELER",D281="FDS ABSENTE"),J281="—"),"OUI","—"))</f>
        <v/>
      </c>
      <c r="I281" s="85" t="str">
        <f aca="false">IF($L281="","",IF(INDEX(Inv_DemFDS,$L281)=0,"—",INDEX(Inv_DemFDS,$L281)))</f>
        <v/>
      </c>
      <c r="J281" s="85" t="str">
        <f aca="false">IF($L281="","",IF(INDEX(Inv_RecFDS,$L281)=0,"—",INDEX(Inv_RecFDS,$L281)))</f>
        <v/>
      </c>
      <c r="L281" s="0" t="str">
        <f aca="false">IF(ROW()-5&gt;NbProduits,"",MATCH(SMALL(CleFDS,ROW()-5),CleFDS,0))</f>
        <v/>
      </c>
    </row>
    <row r="282" customFormat="false" ht="15" hidden="false" customHeight="false" outlineLevel="0" collapsed="false">
      <c r="A282" s="83" t="str">
        <f aca="false">IF($L282="","",INDEX(Inv_Num,$L282))</f>
        <v/>
      </c>
      <c r="B282" s="67" t="str">
        <f aca="false">IF($L282="","",INDEX(Inv_Nom,$L282))</f>
        <v/>
      </c>
      <c r="C282" s="67" t="str">
        <f aca="false">IF($L282="","",T(INDEX(Inv_Fourn,$L282)))</f>
        <v/>
      </c>
      <c r="D282" s="83" t="str">
        <f aca="false">IF($L282="","",INDEX(Inv_StatutFDS,$L282))</f>
        <v/>
      </c>
      <c r="E282" s="85" t="str">
        <f aca="false">IF($L282="","",IF(INDEX(Inv_DateFDS,$L282)=0,"—",INDEX(Inv_DateFDS,$L282)))</f>
        <v/>
      </c>
      <c r="F282" s="85" t="str">
        <f aca="false">IF($L282="","",IF(INDEX(Inv_ProchVerif,$L282)="","—",INDEX(Inv_ProchVerif,$L282)))</f>
        <v/>
      </c>
      <c r="G282" s="87" t="str">
        <f aca="true">IF($L282="","",IF(OR(F282="—",F282=""),"—",F282-TODAY()))</f>
        <v/>
      </c>
      <c r="H282" s="83" t="str">
        <f aca="false">IF($L282="","",IF(AND(OR(D282="EXPIRÉE",D282="À RENOUVELER",D282="FDS ABSENTE"),J282="—"),"OUI","—"))</f>
        <v/>
      </c>
      <c r="I282" s="85" t="str">
        <f aca="false">IF($L282="","",IF(INDEX(Inv_DemFDS,$L282)=0,"—",INDEX(Inv_DemFDS,$L282)))</f>
        <v/>
      </c>
      <c r="J282" s="85" t="str">
        <f aca="false">IF($L282="","",IF(INDEX(Inv_RecFDS,$L282)=0,"—",INDEX(Inv_RecFDS,$L282)))</f>
        <v/>
      </c>
      <c r="L282" s="0" t="str">
        <f aca="false">IF(ROW()-5&gt;NbProduits,"",MATCH(SMALL(CleFDS,ROW()-5),CleFDS,0))</f>
        <v/>
      </c>
    </row>
    <row r="283" customFormat="false" ht="15" hidden="false" customHeight="false" outlineLevel="0" collapsed="false">
      <c r="A283" s="83" t="str">
        <f aca="false">IF($L283="","",INDEX(Inv_Num,$L283))</f>
        <v/>
      </c>
      <c r="B283" s="67" t="str">
        <f aca="false">IF($L283="","",INDEX(Inv_Nom,$L283))</f>
        <v/>
      </c>
      <c r="C283" s="67" t="str">
        <f aca="false">IF($L283="","",T(INDEX(Inv_Fourn,$L283)))</f>
        <v/>
      </c>
      <c r="D283" s="83" t="str">
        <f aca="false">IF($L283="","",INDEX(Inv_StatutFDS,$L283))</f>
        <v/>
      </c>
      <c r="E283" s="85" t="str">
        <f aca="false">IF($L283="","",IF(INDEX(Inv_DateFDS,$L283)=0,"—",INDEX(Inv_DateFDS,$L283)))</f>
        <v/>
      </c>
      <c r="F283" s="85" t="str">
        <f aca="false">IF($L283="","",IF(INDEX(Inv_ProchVerif,$L283)="","—",INDEX(Inv_ProchVerif,$L283)))</f>
        <v/>
      </c>
      <c r="G283" s="87" t="str">
        <f aca="true">IF($L283="","",IF(OR(F283="—",F283=""),"—",F283-TODAY()))</f>
        <v/>
      </c>
      <c r="H283" s="83" t="str">
        <f aca="false">IF($L283="","",IF(AND(OR(D283="EXPIRÉE",D283="À RENOUVELER",D283="FDS ABSENTE"),J283="—"),"OUI","—"))</f>
        <v/>
      </c>
      <c r="I283" s="85" t="str">
        <f aca="false">IF($L283="","",IF(INDEX(Inv_DemFDS,$L283)=0,"—",INDEX(Inv_DemFDS,$L283)))</f>
        <v/>
      </c>
      <c r="J283" s="85" t="str">
        <f aca="false">IF($L283="","",IF(INDEX(Inv_RecFDS,$L283)=0,"—",INDEX(Inv_RecFDS,$L283)))</f>
        <v/>
      </c>
      <c r="L283" s="0" t="str">
        <f aca="false">IF(ROW()-5&gt;NbProduits,"",MATCH(SMALL(CleFDS,ROW()-5),CleFDS,0))</f>
        <v/>
      </c>
    </row>
    <row r="284" customFormat="false" ht="15" hidden="false" customHeight="false" outlineLevel="0" collapsed="false">
      <c r="A284" s="83" t="str">
        <f aca="false">IF($L284="","",INDEX(Inv_Num,$L284))</f>
        <v/>
      </c>
      <c r="B284" s="67" t="str">
        <f aca="false">IF($L284="","",INDEX(Inv_Nom,$L284))</f>
        <v/>
      </c>
      <c r="C284" s="67" t="str">
        <f aca="false">IF($L284="","",T(INDEX(Inv_Fourn,$L284)))</f>
        <v/>
      </c>
      <c r="D284" s="83" t="str">
        <f aca="false">IF($L284="","",INDEX(Inv_StatutFDS,$L284))</f>
        <v/>
      </c>
      <c r="E284" s="85" t="str">
        <f aca="false">IF($L284="","",IF(INDEX(Inv_DateFDS,$L284)=0,"—",INDEX(Inv_DateFDS,$L284)))</f>
        <v/>
      </c>
      <c r="F284" s="85" t="str">
        <f aca="false">IF($L284="","",IF(INDEX(Inv_ProchVerif,$L284)="","—",INDEX(Inv_ProchVerif,$L284)))</f>
        <v/>
      </c>
      <c r="G284" s="87" t="str">
        <f aca="true">IF($L284="","",IF(OR(F284="—",F284=""),"—",F284-TODAY()))</f>
        <v/>
      </c>
      <c r="H284" s="83" t="str">
        <f aca="false">IF($L284="","",IF(AND(OR(D284="EXPIRÉE",D284="À RENOUVELER",D284="FDS ABSENTE"),J284="—"),"OUI","—"))</f>
        <v/>
      </c>
      <c r="I284" s="85" t="str">
        <f aca="false">IF($L284="","",IF(INDEX(Inv_DemFDS,$L284)=0,"—",INDEX(Inv_DemFDS,$L284)))</f>
        <v/>
      </c>
      <c r="J284" s="85" t="str">
        <f aca="false">IF($L284="","",IF(INDEX(Inv_RecFDS,$L284)=0,"—",INDEX(Inv_RecFDS,$L284)))</f>
        <v/>
      </c>
      <c r="L284" s="0" t="str">
        <f aca="false">IF(ROW()-5&gt;NbProduits,"",MATCH(SMALL(CleFDS,ROW()-5),CleFDS,0))</f>
        <v/>
      </c>
    </row>
    <row r="285" customFormat="false" ht="15" hidden="false" customHeight="false" outlineLevel="0" collapsed="false">
      <c r="A285" s="83" t="str">
        <f aca="false">IF($L285="","",INDEX(Inv_Num,$L285))</f>
        <v/>
      </c>
      <c r="B285" s="67" t="str">
        <f aca="false">IF($L285="","",INDEX(Inv_Nom,$L285))</f>
        <v/>
      </c>
      <c r="C285" s="67" t="str">
        <f aca="false">IF($L285="","",T(INDEX(Inv_Fourn,$L285)))</f>
        <v/>
      </c>
      <c r="D285" s="83" t="str">
        <f aca="false">IF($L285="","",INDEX(Inv_StatutFDS,$L285))</f>
        <v/>
      </c>
      <c r="E285" s="85" t="str">
        <f aca="false">IF($L285="","",IF(INDEX(Inv_DateFDS,$L285)=0,"—",INDEX(Inv_DateFDS,$L285)))</f>
        <v/>
      </c>
      <c r="F285" s="85" t="str">
        <f aca="false">IF($L285="","",IF(INDEX(Inv_ProchVerif,$L285)="","—",INDEX(Inv_ProchVerif,$L285)))</f>
        <v/>
      </c>
      <c r="G285" s="87" t="str">
        <f aca="true">IF($L285="","",IF(OR(F285="—",F285=""),"—",F285-TODAY()))</f>
        <v/>
      </c>
      <c r="H285" s="83" t="str">
        <f aca="false">IF($L285="","",IF(AND(OR(D285="EXPIRÉE",D285="À RENOUVELER",D285="FDS ABSENTE"),J285="—"),"OUI","—"))</f>
        <v/>
      </c>
      <c r="I285" s="85" t="str">
        <f aca="false">IF($L285="","",IF(INDEX(Inv_DemFDS,$L285)=0,"—",INDEX(Inv_DemFDS,$L285)))</f>
        <v/>
      </c>
      <c r="J285" s="85" t="str">
        <f aca="false">IF($L285="","",IF(INDEX(Inv_RecFDS,$L285)=0,"—",INDEX(Inv_RecFDS,$L285)))</f>
        <v/>
      </c>
      <c r="L285" s="0" t="str">
        <f aca="false">IF(ROW()-5&gt;NbProduits,"",MATCH(SMALL(CleFDS,ROW()-5),CleFDS,0))</f>
        <v/>
      </c>
    </row>
    <row r="286" customFormat="false" ht="15" hidden="false" customHeight="false" outlineLevel="0" collapsed="false">
      <c r="A286" s="83" t="str">
        <f aca="false">IF($L286="","",INDEX(Inv_Num,$L286))</f>
        <v/>
      </c>
      <c r="B286" s="67" t="str">
        <f aca="false">IF($L286="","",INDEX(Inv_Nom,$L286))</f>
        <v/>
      </c>
      <c r="C286" s="67" t="str">
        <f aca="false">IF($L286="","",T(INDEX(Inv_Fourn,$L286)))</f>
        <v/>
      </c>
      <c r="D286" s="83" t="str">
        <f aca="false">IF($L286="","",INDEX(Inv_StatutFDS,$L286))</f>
        <v/>
      </c>
      <c r="E286" s="85" t="str">
        <f aca="false">IF($L286="","",IF(INDEX(Inv_DateFDS,$L286)=0,"—",INDEX(Inv_DateFDS,$L286)))</f>
        <v/>
      </c>
      <c r="F286" s="85" t="str">
        <f aca="false">IF($L286="","",IF(INDEX(Inv_ProchVerif,$L286)="","—",INDEX(Inv_ProchVerif,$L286)))</f>
        <v/>
      </c>
      <c r="G286" s="87" t="str">
        <f aca="true">IF($L286="","",IF(OR(F286="—",F286=""),"—",F286-TODAY()))</f>
        <v/>
      </c>
      <c r="H286" s="83" t="str">
        <f aca="false">IF($L286="","",IF(AND(OR(D286="EXPIRÉE",D286="À RENOUVELER",D286="FDS ABSENTE"),J286="—"),"OUI","—"))</f>
        <v/>
      </c>
      <c r="I286" s="85" t="str">
        <f aca="false">IF($L286="","",IF(INDEX(Inv_DemFDS,$L286)=0,"—",INDEX(Inv_DemFDS,$L286)))</f>
        <v/>
      </c>
      <c r="J286" s="85" t="str">
        <f aca="false">IF($L286="","",IF(INDEX(Inv_RecFDS,$L286)=0,"—",INDEX(Inv_RecFDS,$L286)))</f>
        <v/>
      </c>
      <c r="L286" s="0" t="str">
        <f aca="false">IF(ROW()-5&gt;NbProduits,"",MATCH(SMALL(CleFDS,ROW()-5),CleFDS,0))</f>
        <v/>
      </c>
    </row>
    <row r="287" customFormat="false" ht="15" hidden="false" customHeight="false" outlineLevel="0" collapsed="false">
      <c r="A287" s="83" t="str">
        <f aca="false">IF($L287="","",INDEX(Inv_Num,$L287))</f>
        <v/>
      </c>
      <c r="B287" s="67" t="str">
        <f aca="false">IF($L287="","",INDEX(Inv_Nom,$L287))</f>
        <v/>
      </c>
      <c r="C287" s="67" t="str">
        <f aca="false">IF($L287="","",T(INDEX(Inv_Fourn,$L287)))</f>
        <v/>
      </c>
      <c r="D287" s="83" t="str">
        <f aca="false">IF($L287="","",INDEX(Inv_StatutFDS,$L287))</f>
        <v/>
      </c>
      <c r="E287" s="85" t="str">
        <f aca="false">IF($L287="","",IF(INDEX(Inv_DateFDS,$L287)=0,"—",INDEX(Inv_DateFDS,$L287)))</f>
        <v/>
      </c>
      <c r="F287" s="85" t="str">
        <f aca="false">IF($L287="","",IF(INDEX(Inv_ProchVerif,$L287)="","—",INDEX(Inv_ProchVerif,$L287)))</f>
        <v/>
      </c>
      <c r="G287" s="87" t="str">
        <f aca="true">IF($L287="","",IF(OR(F287="—",F287=""),"—",F287-TODAY()))</f>
        <v/>
      </c>
      <c r="H287" s="83" t="str">
        <f aca="false">IF($L287="","",IF(AND(OR(D287="EXPIRÉE",D287="À RENOUVELER",D287="FDS ABSENTE"),J287="—"),"OUI","—"))</f>
        <v/>
      </c>
      <c r="I287" s="85" t="str">
        <f aca="false">IF($L287="","",IF(INDEX(Inv_DemFDS,$L287)=0,"—",INDEX(Inv_DemFDS,$L287)))</f>
        <v/>
      </c>
      <c r="J287" s="85" t="str">
        <f aca="false">IF($L287="","",IF(INDEX(Inv_RecFDS,$L287)=0,"—",INDEX(Inv_RecFDS,$L287)))</f>
        <v/>
      </c>
      <c r="L287" s="0" t="str">
        <f aca="false">IF(ROW()-5&gt;NbProduits,"",MATCH(SMALL(CleFDS,ROW()-5),CleFDS,0))</f>
        <v/>
      </c>
    </row>
    <row r="288" customFormat="false" ht="15" hidden="false" customHeight="false" outlineLevel="0" collapsed="false">
      <c r="A288" s="83" t="str">
        <f aca="false">IF($L288="","",INDEX(Inv_Num,$L288))</f>
        <v/>
      </c>
      <c r="B288" s="67" t="str">
        <f aca="false">IF($L288="","",INDEX(Inv_Nom,$L288))</f>
        <v/>
      </c>
      <c r="C288" s="67" t="str">
        <f aca="false">IF($L288="","",T(INDEX(Inv_Fourn,$L288)))</f>
        <v/>
      </c>
      <c r="D288" s="83" t="str">
        <f aca="false">IF($L288="","",INDEX(Inv_StatutFDS,$L288))</f>
        <v/>
      </c>
      <c r="E288" s="85" t="str">
        <f aca="false">IF($L288="","",IF(INDEX(Inv_DateFDS,$L288)=0,"—",INDEX(Inv_DateFDS,$L288)))</f>
        <v/>
      </c>
      <c r="F288" s="85" t="str">
        <f aca="false">IF($L288="","",IF(INDEX(Inv_ProchVerif,$L288)="","—",INDEX(Inv_ProchVerif,$L288)))</f>
        <v/>
      </c>
      <c r="G288" s="87" t="str">
        <f aca="true">IF($L288="","",IF(OR(F288="—",F288=""),"—",F288-TODAY()))</f>
        <v/>
      </c>
      <c r="H288" s="83" t="str">
        <f aca="false">IF($L288="","",IF(AND(OR(D288="EXPIRÉE",D288="À RENOUVELER",D288="FDS ABSENTE"),J288="—"),"OUI","—"))</f>
        <v/>
      </c>
      <c r="I288" s="85" t="str">
        <f aca="false">IF($L288="","",IF(INDEX(Inv_DemFDS,$L288)=0,"—",INDEX(Inv_DemFDS,$L288)))</f>
        <v/>
      </c>
      <c r="J288" s="85" t="str">
        <f aca="false">IF($L288="","",IF(INDEX(Inv_RecFDS,$L288)=0,"—",INDEX(Inv_RecFDS,$L288)))</f>
        <v/>
      </c>
      <c r="L288" s="0" t="str">
        <f aca="false">IF(ROW()-5&gt;NbProduits,"",MATCH(SMALL(CleFDS,ROW()-5),CleFDS,0))</f>
        <v/>
      </c>
    </row>
    <row r="289" customFormat="false" ht="15" hidden="false" customHeight="false" outlineLevel="0" collapsed="false">
      <c r="A289" s="83" t="str">
        <f aca="false">IF($L289="","",INDEX(Inv_Num,$L289))</f>
        <v/>
      </c>
      <c r="B289" s="67" t="str">
        <f aca="false">IF($L289="","",INDEX(Inv_Nom,$L289))</f>
        <v/>
      </c>
      <c r="C289" s="67" t="str">
        <f aca="false">IF($L289="","",T(INDEX(Inv_Fourn,$L289)))</f>
        <v/>
      </c>
      <c r="D289" s="83" t="str">
        <f aca="false">IF($L289="","",INDEX(Inv_StatutFDS,$L289))</f>
        <v/>
      </c>
      <c r="E289" s="85" t="str">
        <f aca="false">IF($L289="","",IF(INDEX(Inv_DateFDS,$L289)=0,"—",INDEX(Inv_DateFDS,$L289)))</f>
        <v/>
      </c>
      <c r="F289" s="85" t="str">
        <f aca="false">IF($L289="","",IF(INDEX(Inv_ProchVerif,$L289)="","—",INDEX(Inv_ProchVerif,$L289)))</f>
        <v/>
      </c>
      <c r="G289" s="87" t="str">
        <f aca="true">IF($L289="","",IF(OR(F289="—",F289=""),"—",F289-TODAY()))</f>
        <v/>
      </c>
      <c r="H289" s="83" t="str">
        <f aca="false">IF($L289="","",IF(AND(OR(D289="EXPIRÉE",D289="À RENOUVELER",D289="FDS ABSENTE"),J289="—"),"OUI","—"))</f>
        <v/>
      </c>
      <c r="I289" s="85" t="str">
        <f aca="false">IF($L289="","",IF(INDEX(Inv_DemFDS,$L289)=0,"—",INDEX(Inv_DemFDS,$L289)))</f>
        <v/>
      </c>
      <c r="J289" s="85" t="str">
        <f aca="false">IF($L289="","",IF(INDEX(Inv_RecFDS,$L289)=0,"—",INDEX(Inv_RecFDS,$L289)))</f>
        <v/>
      </c>
      <c r="L289" s="0" t="str">
        <f aca="false">IF(ROW()-5&gt;NbProduits,"",MATCH(SMALL(CleFDS,ROW()-5),CleFDS,0))</f>
        <v/>
      </c>
    </row>
    <row r="290" customFormat="false" ht="15" hidden="false" customHeight="false" outlineLevel="0" collapsed="false">
      <c r="A290" s="83" t="str">
        <f aca="false">IF($L290="","",INDEX(Inv_Num,$L290))</f>
        <v/>
      </c>
      <c r="B290" s="67" t="str">
        <f aca="false">IF($L290="","",INDEX(Inv_Nom,$L290))</f>
        <v/>
      </c>
      <c r="C290" s="67" t="str">
        <f aca="false">IF($L290="","",T(INDEX(Inv_Fourn,$L290)))</f>
        <v/>
      </c>
      <c r="D290" s="83" t="str">
        <f aca="false">IF($L290="","",INDEX(Inv_StatutFDS,$L290))</f>
        <v/>
      </c>
      <c r="E290" s="85" t="str">
        <f aca="false">IF($L290="","",IF(INDEX(Inv_DateFDS,$L290)=0,"—",INDEX(Inv_DateFDS,$L290)))</f>
        <v/>
      </c>
      <c r="F290" s="85" t="str">
        <f aca="false">IF($L290="","",IF(INDEX(Inv_ProchVerif,$L290)="","—",INDEX(Inv_ProchVerif,$L290)))</f>
        <v/>
      </c>
      <c r="G290" s="87" t="str">
        <f aca="true">IF($L290="","",IF(OR(F290="—",F290=""),"—",F290-TODAY()))</f>
        <v/>
      </c>
      <c r="H290" s="83" t="str">
        <f aca="false">IF($L290="","",IF(AND(OR(D290="EXPIRÉE",D290="À RENOUVELER",D290="FDS ABSENTE"),J290="—"),"OUI","—"))</f>
        <v/>
      </c>
      <c r="I290" s="85" t="str">
        <f aca="false">IF($L290="","",IF(INDEX(Inv_DemFDS,$L290)=0,"—",INDEX(Inv_DemFDS,$L290)))</f>
        <v/>
      </c>
      <c r="J290" s="85" t="str">
        <f aca="false">IF($L290="","",IF(INDEX(Inv_RecFDS,$L290)=0,"—",INDEX(Inv_RecFDS,$L290)))</f>
        <v/>
      </c>
      <c r="L290" s="0" t="str">
        <f aca="false">IF(ROW()-5&gt;NbProduits,"",MATCH(SMALL(CleFDS,ROW()-5),CleFDS,0))</f>
        <v/>
      </c>
    </row>
    <row r="291" customFormat="false" ht="15" hidden="false" customHeight="false" outlineLevel="0" collapsed="false">
      <c r="A291" s="83" t="str">
        <f aca="false">IF($L291="","",INDEX(Inv_Num,$L291))</f>
        <v/>
      </c>
      <c r="B291" s="67" t="str">
        <f aca="false">IF($L291="","",INDEX(Inv_Nom,$L291))</f>
        <v/>
      </c>
      <c r="C291" s="67" t="str">
        <f aca="false">IF($L291="","",T(INDEX(Inv_Fourn,$L291)))</f>
        <v/>
      </c>
      <c r="D291" s="83" t="str">
        <f aca="false">IF($L291="","",INDEX(Inv_StatutFDS,$L291))</f>
        <v/>
      </c>
      <c r="E291" s="85" t="str">
        <f aca="false">IF($L291="","",IF(INDEX(Inv_DateFDS,$L291)=0,"—",INDEX(Inv_DateFDS,$L291)))</f>
        <v/>
      </c>
      <c r="F291" s="85" t="str">
        <f aca="false">IF($L291="","",IF(INDEX(Inv_ProchVerif,$L291)="","—",INDEX(Inv_ProchVerif,$L291)))</f>
        <v/>
      </c>
      <c r="G291" s="87" t="str">
        <f aca="true">IF($L291="","",IF(OR(F291="—",F291=""),"—",F291-TODAY()))</f>
        <v/>
      </c>
      <c r="H291" s="83" t="str">
        <f aca="false">IF($L291="","",IF(AND(OR(D291="EXPIRÉE",D291="À RENOUVELER",D291="FDS ABSENTE"),J291="—"),"OUI","—"))</f>
        <v/>
      </c>
      <c r="I291" s="85" t="str">
        <f aca="false">IF($L291="","",IF(INDEX(Inv_DemFDS,$L291)=0,"—",INDEX(Inv_DemFDS,$L291)))</f>
        <v/>
      </c>
      <c r="J291" s="85" t="str">
        <f aca="false">IF($L291="","",IF(INDEX(Inv_RecFDS,$L291)=0,"—",INDEX(Inv_RecFDS,$L291)))</f>
        <v/>
      </c>
      <c r="L291" s="0" t="str">
        <f aca="false">IF(ROW()-5&gt;NbProduits,"",MATCH(SMALL(CleFDS,ROW()-5),CleFDS,0))</f>
        <v/>
      </c>
    </row>
    <row r="292" customFormat="false" ht="15" hidden="false" customHeight="false" outlineLevel="0" collapsed="false">
      <c r="A292" s="83" t="str">
        <f aca="false">IF($L292="","",INDEX(Inv_Num,$L292))</f>
        <v/>
      </c>
      <c r="B292" s="67" t="str">
        <f aca="false">IF($L292="","",INDEX(Inv_Nom,$L292))</f>
        <v/>
      </c>
      <c r="C292" s="67" t="str">
        <f aca="false">IF($L292="","",T(INDEX(Inv_Fourn,$L292)))</f>
        <v/>
      </c>
      <c r="D292" s="83" t="str">
        <f aca="false">IF($L292="","",INDEX(Inv_StatutFDS,$L292))</f>
        <v/>
      </c>
      <c r="E292" s="85" t="str">
        <f aca="false">IF($L292="","",IF(INDEX(Inv_DateFDS,$L292)=0,"—",INDEX(Inv_DateFDS,$L292)))</f>
        <v/>
      </c>
      <c r="F292" s="85" t="str">
        <f aca="false">IF($L292="","",IF(INDEX(Inv_ProchVerif,$L292)="","—",INDEX(Inv_ProchVerif,$L292)))</f>
        <v/>
      </c>
      <c r="G292" s="87" t="str">
        <f aca="true">IF($L292="","",IF(OR(F292="—",F292=""),"—",F292-TODAY()))</f>
        <v/>
      </c>
      <c r="H292" s="83" t="str">
        <f aca="false">IF($L292="","",IF(AND(OR(D292="EXPIRÉE",D292="À RENOUVELER",D292="FDS ABSENTE"),J292="—"),"OUI","—"))</f>
        <v/>
      </c>
      <c r="I292" s="85" t="str">
        <f aca="false">IF($L292="","",IF(INDEX(Inv_DemFDS,$L292)=0,"—",INDEX(Inv_DemFDS,$L292)))</f>
        <v/>
      </c>
      <c r="J292" s="85" t="str">
        <f aca="false">IF($L292="","",IF(INDEX(Inv_RecFDS,$L292)=0,"—",INDEX(Inv_RecFDS,$L292)))</f>
        <v/>
      </c>
      <c r="L292" s="0" t="str">
        <f aca="false">IF(ROW()-5&gt;NbProduits,"",MATCH(SMALL(CleFDS,ROW()-5),CleFDS,0))</f>
        <v/>
      </c>
    </row>
    <row r="293" customFormat="false" ht="15" hidden="false" customHeight="false" outlineLevel="0" collapsed="false">
      <c r="A293" s="83" t="str">
        <f aca="false">IF($L293="","",INDEX(Inv_Num,$L293))</f>
        <v/>
      </c>
      <c r="B293" s="67" t="str">
        <f aca="false">IF($L293="","",INDEX(Inv_Nom,$L293))</f>
        <v/>
      </c>
      <c r="C293" s="67" t="str">
        <f aca="false">IF($L293="","",T(INDEX(Inv_Fourn,$L293)))</f>
        <v/>
      </c>
      <c r="D293" s="83" t="str">
        <f aca="false">IF($L293="","",INDEX(Inv_StatutFDS,$L293))</f>
        <v/>
      </c>
      <c r="E293" s="85" t="str">
        <f aca="false">IF($L293="","",IF(INDEX(Inv_DateFDS,$L293)=0,"—",INDEX(Inv_DateFDS,$L293)))</f>
        <v/>
      </c>
      <c r="F293" s="85" t="str">
        <f aca="false">IF($L293="","",IF(INDEX(Inv_ProchVerif,$L293)="","—",INDEX(Inv_ProchVerif,$L293)))</f>
        <v/>
      </c>
      <c r="G293" s="87" t="str">
        <f aca="true">IF($L293="","",IF(OR(F293="—",F293=""),"—",F293-TODAY()))</f>
        <v/>
      </c>
      <c r="H293" s="83" t="str">
        <f aca="false">IF($L293="","",IF(AND(OR(D293="EXPIRÉE",D293="À RENOUVELER",D293="FDS ABSENTE"),J293="—"),"OUI","—"))</f>
        <v/>
      </c>
      <c r="I293" s="85" t="str">
        <f aca="false">IF($L293="","",IF(INDEX(Inv_DemFDS,$L293)=0,"—",INDEX(Inv_DemFDS,$L293)))</f>
        <v/>
      </c>
      <c r="J293" s="85" t="str">
        <f aca="false">IF($L293="","",IF(INDEX(Inv_RecFDS,$L293)=0,"—",INDEX(Inv_RecFDS,$L293)))</f>
        <v/>
      </c>
      <c r="L293" s="0" t="str">
        <f aca="false">IF(ROW()-5&gt;NbProduits,"",MATCH(SMALL(CleFDS,ROW()-5),CleFDS,0))</f>
        <v/>
      </c>
    </row>
    <row r="294" customFormat="false" ht="15" hidden="false" customHeight="false" outlineLevel="0" collapsed="false">
      <c r="A294" s="83" t="str">
        <f aca="false">IF($L294="","",INDEX(Inv_Num,$L294))</f>
        <v/>
      </c>
      <c r="B294" s="67" t="str">
        <f aca="false">IF($L294="","",INDEX(Inv_Nom,$L294))</f>
        <v/>
      </c>
      <c r="C294" s="67" t="str">
        <f aca="false">IF($L294="","",T(INDEX(Inv_Fourn,$L294)))</f>
        <v/>
      </c>
      <c r="D294" s="83" t="str">
        <f aca="false">IF($L294="","",INDEX(Inv_StatutFDS,$L294))</f>
        <v/>
      </c>
      <c r="E294" s="85" t="str">
        <f aca="false">IF($L294="","",IF(INDEX(Inv_DateFDS,$L294)=0,"—",INDEX(Inv_DateFDS,$L294)))</f>
        <v/>
      </c>
      <c r="F294" s="85" t="str">
        <f aca="false">IF($L294="","",IF(INDEX(Inv_ProchVerif,$L294)="","—",INDEX(Inv_ProchVerif,$L294)))</f>
        <v/>
      </c>
      <c r="G294" s="87" t="str">
        <f aca="true">IF($L294="","",IF(OR(F294="—",F294=""),"—",F294-TODAY()))</f>
        <v/>
      </c>
      <c r="H294" s="83" t="str">
        <f aca="false">IF($L294="","",IF(AND(OR(D294="EXPIRÉE",D294="À RENOUVELER",D294="FDS ABSENTE"),J294="—"),"OUI","—"))</f>
        <v/>
      </c>
      <c r="I294" s="85" t="str">
        <f aca="false">IF($L294="","",IF(INDEX(Inv_DemFDS,$L294)=0,"—",INDEX(Inv_DemFDS,$L294)))</f>
        <v/>
      </c>
      <c r="J294" s="85" t="str">
        <f aca="false">IF($L294="","",IF(INDEX(Inv_RecFDS,$L294)=0,"—",INDEX(Inv_RecFDS,$L294)))</f>
        <v/>
      </c>
      <c r="L294" s="0" t="str">
        <f aca="false">IF(ROW()-5&gt;NbProduits,"",MATCH(SMALL(CleFDS,ROW()-5),CleFDS,0))</f>
        <v/>
      </c>
    </row>
    <row r="295" customFormat="false" ht="15" hidden="false" customHeight="false" outlineLevel="0" collapsed="false">
      <c r="A295" s="83" t="str">
        <f aca="false">IF($L295="","",INDEX(Inv_Num,$L295))</f>
        <v/>
      </c>
      <c r="B295" s="67" t="str">
        <f aca="false">IF($L295="","",INDEX(Inv_Nom,$L295))</f>
        <v/>
      </c>
      <c r="C295" s="67" t="str">
        <f aca="false">IF($L295="","",T(INDEX(Inv_Fourn,$L295)))</f>
        <v/>
      </c>
      <c r="D295" s="83" t="str">
        <f aca="false">IF($L295="","",INDEX(Inv_StatutFDS,$L295))</f>
        <v/>
      </c>
      <c r="E295" s="85" t="str">
        <f aca="false">IF($L295="","",IF(INDEX(Inv_DateFDS,$L295)=0,"—",INDEX(Inv_DateFDS,$L295)))</f>
        <v/>
      </c>
      <c r="F295" s="85" t="str">
        <f aca="false">IF($L295="","",IF(INDEX(Inv_ProchVerif,$L295)="","—",INDEX(Inv_ProchVerif,$L295)))</f>
        <v/>
      </c>
      <c r="G295" s="87" t="str">
        <f aca="true">IF($L295="","",IF(OR(F295="—",F295=""),"—",F295-TODAY()))</f>
        <v/>
      </c>
      <c r="H295" s="83" t="str">
        <f aca="false">IF($L295="","",IF(AND(OR(D295="EXPIRÉE",D295="À RENOUVELER",D295="FDS ABSENTE"),J295="—"),"OUI","—"))</f>
        <v/>
      </c>
      <c r="I295" s="85" t="str">
        <f aca="false">IF($L295="","",IF(INDEX(Inv_DemFDS,$L295)=0,"—",INDEX(Inv_DemFDS,$L295)))</f>
        <v/>
      </c>
      <c r="J295" s="85" t="str">
        <f aca="false">IF($L295="","",IF(INDEX(Inv_RecFDS,$L295)=0,"—",INDEX(Inv_RecFDS,$L295)))</f>
        <v/>
      </c>
      <c r="L295" s="0" t="str">
        <f aca="false">IF(ROW()-5&gt;NbProduits,"",MATCH(SMALL(CleFDS,ROW()-5),CleFDS,0))</f>
        <v/>
      </c>
    </row>
    <row r="296" customFormat="false" ht="15" hidden="false" customHeight="false" outlineLevel="0" collapsed="false">
      <c r="A296" s="83" t="str">
        <f aca="false">IF($L296="","",INDEX(Inv_Num,$L296))</f>
        <v/>
      </c>
      <c r="B296" s="67" t="str">
        <f aca="false">IF($L296="","",INDEX(Inv_Nom,$L296))</f>
        <v/>
      </c>
      <c r="C296" s="67" t="str">
        <f aca="false">IF($L296="","",T(INDEX(Inv_Fourn,$L296)))</f>
        <v/>
      </c>
      <c r="D296" s="83" t="str">
        <f aca="false">IF($L296="","",INDEX(Inv_StatutFDS,$L296))</f>
        <v/>
      </c>
      <c r="E296" s="85" t="str">
        <f aca="false">IF($L296="","",IF(INDEX(Inv_DateFDS,$L296)=0,"—",INDEX(Inv_DateFDS,$L296)))</f>
        <v/>
      </c>
      <c r="F296" s="85" t="str">
        <f aca="false">IF($L296="","",IF(INDEX(Inv_ProchVerif,$L296)="","—",INDEX(Inv_ProchVerif,$L296)))</f>
        <v/>
      </c>
      <c r="G296" s="87" t="str">
        <f aca="true">IF($L296="","",IF(OR(F296="—",F296=""),"—",F296-TODAY()))</f>
        <v/>
      </c>
      <c r="H296" s="83" t="str">
        <f aca="false">IF($L296="","",IF(AND(OR(D296="EXPIRÉE",D296="À RENOUVELER",D296="FDS ABSENTE"),J296="—"),"OUI","—"))</f>
        <v/>
      </c>
      <c r="I296" s="85" t="str">
        <f aca="false">IF($L296="","",IF(INDEX(Inv_DemFDS,$L296)=0,"—",INDEX(Inv_DemFDS,$L296)))</f>
        <v/>
      </c>
      <c r="J296" s="85" t="str">
        <f aca="false">IF($L296="","",IF(INDEX(Inv_RecFDS,$L296)=0,"—",INDEX(Inv_RecFDS,$L296)))</f>
        <v/>
      </c>
      <c r="L296" s="0" t="str">
        <f aca="false">IF(ROW()-5&gt;NbProduits,"",MATCH(SMALL(CleFDS,ROW()-5),CleFDS,0))</f>
        <v/>
      </c>
    </row>
    <row r="297" customFormat="false" ht="15" hidden="false" customHeight="false" outlineLevel="0" collapsed="false">
      <c r="A297" s="83" t="str">
        <f aca="false">IF($L297="","",INDEX(Inv_Num,$L297))</f>
        <v/>
      </c>
      <c r="B297" s="67" t="str">
        <f aca="false">IF($L297="","",INDEX(Inv_Nom,$L297))</f>
        <v/>
      </c>
      <c r="C297" s="67" t="str">
        <f aca="false">IF($L297="","",T(INDEX(Inv_Fourn,$L297)))</f>
        <v/>
      </c>
      <c r="D297" s="83" t="str">
        <f aca="false">IF($L297="","",INDEX(Inv_StatutFDS,$L297))</f>
        <v/>
      </c>
      <c r="E297" s="85" t="str">
        <f aca="false">IF($L297="","",IF(INDEX(Inv_DateFDS,$L297)=0,"—",INDEX(Inv_DateFDS,$L297)))</f>
        <v/>
      </c>
      <c r="F297" s="85" t="str">
        <f aca="false">IF($L297="","",IF(INDEX(Inv_ProchVerif,$L297)="","—",INDEX(Inv_ProchVerif,$L297)))</f>
        <v/>
      </c>
      <c r="G297" s="87" t="str">
        <f aca="true">IF($L297="","",IF(OR(F297="—",F297=""),"—",F297-TODAY()))</f>
        <v/>
      </c>
      <c r="H297" s="83" t="str">
        <f aca="false">IF($L297="","",IF(AND(OR(D297="EXPIRÉE",D297="À RENOUVELER",D297="FDS ABSENTE"),J297="—"),"OUI","—"))</f>
        <v/>
      </c>
      <c r="I297" s="85" t="str">
        <f aca="false">IF($L297="","",IF(INDEX(Inv_DemFDS,$L297)=0,"—",INDEX(Inv_DemFDS,$L297)))</f>
        <v/>
      </c>
      <c r="J297" s="85" t="str">
        <f aca="false">IF($L297="","",IF(INDEX(Inv_RecFDS,$L297)=0,"—",INDEX(Inv_RecFDS,$L297)))</f>
        <v/>
      </c>
      <c r="L297" s="0" t="str">
        <f aca="false">IF(ROW()-5&gt;NbProduits,"",MATCH(SMALL(CleFDS,ROW()-5),CleFDS,0))</f>
        <v/>
      </c>
    </row>
    <row r="298" customFormat="false" ht="15" hidden="false" customHeight="false" outlineLevel="0" collapsed="false">
      <c r="A298" s="83" t="str">
        <f aca="false">IF($L298="","",INDEX(Inv_Num,$L298))</f>
        <v/>
      </c>
      <c r="B298" s="67" t="str">
        <f aca="false">IF($L298="","",INDEX(Inv_Nom,$L298))</f>
        <v/>
      </c>
      <c r="C298" s="67" t="str">
        <f aca="false">IF($L298="","",T(INDEX(Inv_Fourn,$L298)))</f>
        <v/>
      </c>
      <c r="D298" s="83" t="str">
        <f aca="false">IF($L298="","",INDEX(Inv_StatutFDS,$L298))</f>
        <v/>
      </c>
      <c r="E298" s="85" t="str">
        <f aca="false">IF($L298="","",IF(INDEX(Inv_DateFDS,$L298)=0,"—",INDEX(Inv_DateFDS,$L298)))</f>
        <v/>
      </c>
      <c r="F298" s="85" t="str">
        <f aca="false">IF($L298="","",IF(INDEX(Inv_ProchVerif,$L298)="","—",INDEX(Inv_ProchVerif,$L298)))</f>
        <v/>
      </c>
      <c r="G298" s="87" t="str">
        <f aca="true">IF($L298="","",IF(OR(F298="—",F298=""),"—",F298-TODAY()))</f>
        <v/>
      </c>
      <c r="H298" s="83" t="str">
        <f aca="false">IF($L298="","",IF(AND(OR(D298="EXPIRÉE",D298="À RENOUVELER",D298="FDS ABSENTE"),J298="—"),"OUI","—"))</f>
        <v/>
      </c>
      <c r="I298" s="85" t="str">
        <f aca="false">IF($L298="","",IF(INDEX(Inv_DemFDS,$L298)=0,"—",INDEX(Inv_DemFDS,$L298)))</f>
        <v/>
      </c>
      <c r="J298" s="85" t="str">
        <f aca="false">IF($L298="","",IF(INDEX(Inv_RecFDS,$L298)=0,"—",INDEX(Inv_RecFDS,$L298)))</f>
        <v/>
      </c>
      <c r="L298" s="0" t="str">
        <f aca="false">IF(ROW()-5&gt;NbProduits,"",MATCH(SMALL(CleFDS,ROW()-5),CleFDS,0))</f>
        <v/>
      </c>
    </row>
    <row r="299" customFormat="false" ht="15" hidden="false" customHeight="false" outlineLevel="0" collapsed="false">
      <c r="A299" s="83" t="str">
        <f aca="false">IF($L299="","",INDEX(Inv_Num,$L299))</f>
        <v/>
      </c>
      <c r="B299" s="67" t="str">
        <f aca="false">IF($L299="","",INDEX(Inv_Nom,$L299))</f>
        <v/>
      </c>
      <c r="C299" s="67" t="str">
        <f aca="false">IF($L299="","",T(INDEX(Inv_Fourn,$L299)))</f>
        <v/>
      </c>
      <c r="D299" s="83" t="str">
        <f aca="false">IF($L299="","",INDEX(Inv_StatutFDS,$L299))</f>
        <v/>
      </c>
      <c r="E299" s="85" t="str">
        <f aca="false">IF($L299="","",IF(INDEX(Inv_DateFDS,$L299)=0,"—",INDEX(Inv_DateFDS,$L299)))</f>
        <v/>
      </c>
      <c r="F299" s="85" t="str">
        <f aca="false">IF($L299="","",IF(INDEX(Inv_ProchVerif,$L299)="","—",INDEX(Inv_ProchVerif,$L299)))</f>
        <v/>
      </c>
      <c r="G299" s="87" t="str">
        <f aca="true">IF($L299="","",IF(OR(F299="—",F299=""),"—",F299-TODAY()))</f>
        <v/>
      </c>
      <c r="H299" s="83" t="str">
        <f aca="false">IF($L299="","",IF(AND(OR(D299="EXPIRÉE",D299="À RENOUVELER",D299="FDS ABSENTE"),J299="—"),"OUI","—"))</f>
        <v/>
      </c>
      <c r="I299" s="85" t="str">
        <f aca="false">IF($L299="","",IF(INDEX(Inv_DemFDS,$L299)=0,"—",INDEX(Inv_DemFDS,$L299)))</f>
        <v/>
      </c>
      <c r="J299" s="85" t="str">
        <f aca="false">IF($L299="","",IF(INDEX(Inv_RecFDS,$L299)=0,"—",INDEX(Inv_RecFDS,$L299)))</f>
        <v/>
      </c>
      <c r="L299" s="0" t="str">
        <f aca="false">IF(ROW()-5&gt;NbProduits,"",MATCH(SMALL(CleFDS,ROW()-5),CleFDS,0))</f>
        <v/>
      </c>
    </row>
    <row r="300" customFormat="false" ht="15" hidden="false" customHeight="false" outlineLevel="0" collapsed="false">
      <c r="A300" s="83" t="str">
        <f aca="false">IF($L300="","",INDEX(Inv_Num,$L300))</f>
        <v/>
      </c>
      <c r="B300" s="67" t="str">
        <f aca="false">IF($L300="","",INDEX(Inv_Nom,$L300))</f>
        <v/>
      </c>
      <c r="C300" s="67" t="str">
        <f aca="false">IF($L300="","",T(INDEX(Inv_Fourn,$L300)))</f>
        <v/>
      </c>
      <c r="D300" s="83" t="str">
        <f aca="false">IF($L300="","",INDEX(Inv_StatutFDS,$L300))</f>
        <v/>
      </c>
      <c r="E300" s="85" t="str">
        <f aca="false">IF($L300="","",IF(INDEX(Inv_DateFDS,$L300)=0,"—",INDEX(Inv_DateFDS,$L300)))</f>
        <v/>
      </c>
      <c r="F300" s="85" t="str">
        <f aca="false">IF($L300="","",IF(INDEX(Inv_ProchVerif,$L300)="","—",INDEX(Inv_ProchVerif,$L300)))</f>
        <v/>
      </c>
      <c r="G300" s="87" t="str">
        <f aca="true">IF($L300="","",IF(OR(F300="—",F300=""),"—",F300-TODAY()))</f>
        <v/>
      </c>
      <c r="H300" s="83" t="str">
        <f aca="false">IF($L300="","",IF(AND(OR(D300="EXPIRÉE",D300="À RENOUVELER",D300="FDS ABSENTE"),J300="—"),"OUI","—"))</f>
        <v/>
      </c>
      <c r="I300" s="85" t="str">
        <f aca="false">IF($L300="","",IF(INDEX(Inv_DemFDS,$L300)=0,"—",INDEX(Inv_DemFDS,$L300)))</f>
        <v/>
      </c>
      <c r="J300" s="85" t="str">
        <f aca="false">IF($L300="","",IF(INDEX(Inv_RecFDS,$L300)=0,"—",INDEX(Inv_RecFDS,$L300)))</f>
        <v/>
      </c>
      <c r="L300" s="0" t="str">
        <f aca="false">IF(ROW()-5&gt;NbProduits,"",MATCH(SMALL(CleFDS,ROW()-5),CleFDS,0))</f>
        <v/>
      </c>
    </row>
    <row r="301" customFormat="false" ht="15" hidden="false" customHeight="false" outlineLevel="0" collapsed="false">
      <c r="A301" s="83" t="str">
        <f aca="false">IF($L301="","",INDEX(Inv_Num,$L301))</f>
        <v/>
      </c>
      <c r="B301" s="67" t="str">
        <f aca="false">IF($L301="","",INDEX(Inv_Nom,$L301))</f>
        <v/>
      </c>
      <c r="C301" s="67" t="str">
        <f aca="false">IF($L301="","",T(INDEX(Inv_Fourn,$L301)))</f>
        <v/>
      </c>
      <c r="D301" s="83" t="str">
        <f aca="false">IF($L301="","",INDEX(Inv_StatutFDS,$L301))</f>
        <v/>
      </c>
      <c r="E301" s="85" t="str">
        <f aca="false">IF($L301="","",IF(INDEX(Inv_DateFDS,$L301)=0,"—",INDEX(Inv_DateFDS,$L301)))</f>
        <v/>
      </c>
      <c r="F301" s="85" t="str">
        <f aca="false">IF($L301="","",IF(INDEX(Inv_ProchVerif,$L301)="","—",INDEX(Inv_ProchVerif,$L301)))</f>
        <v/>
      </c>
      <c r="G301" s="87" t="str">
        <f aca="true">IF($L301="","",IF(OR(F301="—",F301=""),"—",F301-TODAY()))</f>
        <v/>
      </c>
      <c r="H301" s="83" t="str">
        <f aca="false">IF($L301="","",IF(AND(OR(D301="EXPIRÉE",D301="À RENOUVELER",D301="FDS ABSENTE"),J301="—"),"OUI","—"))</f>
        <v/>
      </c>
      <c r="I301" s="85" t="str">
        <f aca="false">IF($L301="","",IF(INDEX(Inv_DemFDS,$L301)=0,"—",INDEX(Inv_DemFDS,$L301)))</f>
        <v/>
      </c>
      <c r="J301" s="85" t="str">
        <f aca="false">IF($L301="","",IF(INDEX(Inv_RecFDS,$L301)=0,"—",INDEX(Inv_RecFDS,$L301)))</f>
        <v/>
      </c>
      <c r="L301" s="0" t="str">
        <f aca="false">IF(ROW()-5&gt;NbProduits,"",MATCH(SMALL(CleFDS,ROW()-5),CleFDS,0))</f>
        <v/>
      </c>
    </row>
    <row r="302" customFormat="false" ht="15" hidden="false" customHeight="false" outlineLevel="0" collapsed="false">
      <c r="A302" s="83" t="str">
        <f aca="false">IF($L302="","",INDEX(Inv_Num,$L302))</f>
        <v/>
      </c>
      <c r="B302" s="67" t="str">
        <f aca="false">IF($L302="","",INDEX(Inv_Nom,$L302))</f>
        <v/>
      </c>
      <c r="C302" s="67" t="str">
        <f aca="false">IF($L302="","",T(INDEX(Inv_Fourn,$L302)))</f>
        <v/>
      </c>
      <c r="D302" s="83" t="str">
        <f aca="false">IF($L302="","",INDEX(Inv_StatutFDS,$L302))</f>
        <v/>
      </c>
      <c r="E302" s="85" t="str">
        <f aca="false">IF($L302="","",IF(INDEX(Inv_DateFDS,$L302)=0,"—",INDEX(Inv_DateFDS,$L302)))</f>
        <v/>
      </c>
      <c r="F302" s="85" t="str">
        <f aca="false">IF($L302="","",IF(INDEX(Inv_ProchVerif,$L302)="","—",INDEX(Inv_ProchVerif,$L302)))</f>
        <v/>
      </c>
      <c r="G302" s="87" t="str">
        <f aca="true">IF($L302="","",IF(OR(F302="—",F302=""),"—",F302-TODAY()))</f>
        <v/>
      </c>
      <c r="H302" s="83" t="str">
        <f aca="false">IF($L302="","",IF(AND(OR(D302="EXPIRÉE",D302="À RENOUVELER",D302="FDS ABSENTE"),J302="—"),"OUI","—"))</f>
        <v/>
      </c>
      <c r="I302" s="85" t="str">
        <f aca="false">IF($L302="","",IF(INDEX(Inv_DemFDS,$L302)=0,"—",INDEX(Inv_DemFDS,$L302)))</f>
        <v/>
      </c>
      <c r="J302" s="85" t="str">
        <f aca="false">IF($L302="","",IF(INDEX(Inv_RecFDS,$L302)=0,"—",INDEX(Inv_RecFDS,$L302)))</f>
        <v/>
      </c>
      <c r="L302" s="0" t="str">
        <f aca="false">IF(ROW()-5&gt;NbProduits,"",MATCH(SMALL(CleFDS,ROW()-5),CleFDS,0))</f>
        <v/>
      </c>
    </row>
    <row r="303" customFormat="false" ht="15" hidden="false" customHeight="false" outlineLevel="0" collapsed="false">
      <c r="A303" s="83" t="str">
        <f aca="false">IF($L303="","",INDEX(Inv_Num,$L303))</f>
        <v/>
      </c>
      <c r="B303" s="67" t="str">
        <f aca="false">IF($L303="","",INDEX(Inv_Nom,$L303))</f>
        <v/>
      </c>
      <c r="C303" s="67" t="str">
        <f aca="false">IF($L303="","",T(INDEX(Inv_Fourn,$L303)))</f>
        <v/>
      </c>
      <c r="D303" s="83" t="str">
        <f aca="false">IF($L303="","",INDEX(Inv_StatutFDS,$L303))</f>
        <v/>
      </c>
      <c r="E303" s="85" t="str">
        <f aca="false">IF($L303="","",IF(INDEX(Inv_DateFDS,$L303)=0,"—",INDEX(Inv_DateFDS,$L303)))</f>
        <v/>
      </c>
      <c r="F303" s="85" t="str">
        <f aca="false">IF($L303="","",IF(INDEX(Inv_ProchVerif,$L303)="","—",INDEX(Inv_ProchVerif,$L303)))</f>
        <v/>
      </c>
      <c r="G303" s="87" t="str">
        <f aca="true">IF($L303="","",IF(OR(F303="—",F303=""),"—",F303-TODAY()))</f>
        <v/>
      </c>
      <c r="H303" s="83" t="str">
        <f aca="false">IF($L303="","",IF(AND(OR(D303="EXPIRÉE",D303="À RENOUVELER",D303="FDS ABSENTE"),J303="—"),"OUI","—"))</f>
        <v/>
      </c>
      <c r="I303" s="85" t="str">
        <f aca="false">IF($L303="","",IF(INDEX(Inv_DemFDS,$L303)=0,"—",INDEX(Inv_DemFDS,$L303)))</f>
        <v/>
      </c>
      <c r="J303" s="85" t="str">
        <f aca="false">IF($L303="","",IF(INDEX(Inv_RecFDS,$L303)=0,"—",INDEX(Inv_RecFDS,$L303)))</f>
        <v/>
      </c>
      <c r="L303" s="0" t="str">
        <f aca="false">IF(ROW()-5&gt;NbProduits,"",MATCH(SMALL(CleFDS,ROW()-5),CleFDS,0))</f>
        <v/>
      </c>
    </row>
    <row r="304" customFormat="false" ht="15" hidden="false" customHeight="false" outlineLevel="0" collapsed="false">
      <c r="A304" s="83" t="str">
        <f aca="false">IF($L304="","",INDEX(Inv_Num,$L304))</f>
        <v/>
      </c>
      <c r="B304" s="67" t="str">
        <f aca="false">IF($L304="","",INDEX(Inv_Nom,$L304))</f>
        <v/>
      </c>
      <c r="C304" s="67" t="str">
        <f aca="false">IF($L304="","",T(INDEX(Inv_Fourn,$L304)))</f>
        <v/>
      </c>
      <c r="D304" s="83" t="str">
        <f aca="false">IF($L304="","",INDEX(Inv_StatutFDS,$L304))</f>
        <v/>
      </c>
      <c r="E304" s="85" t="str">
        <f aca="false">IF($L304="","",IF(INDEX(Inv_DateFDS,$L304)=0,"—",INDEX(Inv_DateFDS,$L304)))</f>
        <v/>
      </c>
      <c r="F304" s="85" t="str">
        <f aca="false">IF($L304="","",IF(INDEX(Inv_ProchVerif,$L304)="","—",INDEX(Inv_ProchVerif,$L304)))</f>
        <v/>
      </c>
      <c r="G304" s="87" t="str">
        <f aca="true">IF($L304="","",IF(OR(F304="—",F304=""),"—",F304-TODAY()))</f>
        <v/>
      </c>
      <c r="H304" s="83" t="str">
        <f aca="false">IF($L304="","",IF(AND(OR(D304="EXPIRÉE",D304="À RENOUVELER",D304="FDS ABSENTE"),J304="—"),"OUI","—"))</f>
        <v/>
      </c>
      <c r="I304" s="85" t="str">
        <f aca="false">IF($L304="","",IF(INDEX(Inv_DemFDS,$L304)=0,"—",INDEX(Inv_DemFDS,$L304)))</f>
        <v/>
      </c>
      <c r="J304" s="85" t="str">
        <f aca="false">IF($L304="","",IF(INDEX(Inv_RecFDS,$L304)=0,"—",INDEX(Inv_RecFDS,$L304)))</f>
        <v/>
      </c>
      <c r="L304" s="0" t="str">
        <f aca="false">IF(ROW()-5&gt;NbProduits,"",MATCH(SMALL(CleFDS,ROW()-5),CleFDS,0))</f>
        <v/>
      </c>
    </row>
    <row r="305" customFormat="false" ht="15" hidden="false" customHeight="false" outlineLevel="0" collapsed="false">
      <c r="A305" s="83" t="str">
        <f aca="false">IF($L305="","",INDEX(Inv_Num,$L305))</f>
        <v/>
      </c>
      <c r="B305" s="67" t="str">
        <f aca="false">IF($L305="","",INDEX(Inv_Nom,$L305))</f>
        <v/>
      </c>
      <c r="C305" s="67" t="str">
        <f aca="false">IF($L305="","",T(INDEX(Inv_Fourn,$L305)))</f>
        <v/>
      </c>
      <c r="D305" s="83" t="str">
        <f aca="false">IF($L305="","",INDEX(Inv_StatutFDS,$L305))</f>
        <v/>
      </c>
      <c r="E305" s="85" t="str">
        <f aca="false">IF($L305="","",IF(INDEX(Inv_DateFDS,$L305)=0,"—",INDEX(Inv_DateFDS,$L305)))</f>
        <v/>
      </c>
      <c r="F305" s="85" t="str">
        <f aca="false">IF($L305="","",IF(INDEX(Inv_ProchVerif,$L305)="","—",INDEX(Inv_ProchVerif,$L305)))</f>
        <v/>
      </c>
      <c r="G305" s="87" t="str">
        <f aca="true">IF($L305="","",IF(OR(F305="—",F305=""),"—",F305-TODAY()))</f>
        <v/>
      </c>
      <c r="H305" s="83" t="str">
        <f aca="false">IF($L305="","",IF(AND(OR(D305="EXPIRÉE",D305="À RENOUVELER",D305="FDS ABSENTE"),J305="—"),"OUI","—"))</f>
        <v/>
      </c>
      <c r="I305" s="85" t="str">
        <f aca="false">IF($L305="","",IF(INDEX(Inv_DemFDS,$L305)=0,"—",INDEX(Inv_DemFDS,$L305)))</f>
        <v/>
      </c>
      <c r="J305" s="85" t="str">
        <f aca="false">IF($L305="","",IF(INDEX(Inv_RecFDS,$L305)=0,"—",INDEX(Inv_RecFDS,$L305)))</f>
        <v/>
      </c>
      <c r="L305" s="0" t="str">
        <f aca="false">IF(ROW()-5&gt;NbProduits,"",MATCH(SMALL(CleFDS,ROW()-5),CleFDS,0))</f>
        <v/>
      </c>
    </row>
    <row r="306" customFormat="false" ht="15" hidden="false" customHeight="false" outlineLevel="0" collapsed="false">
      <c r="A306" s="83" t="str">
        <f aca="false">IF($L306="","",INDEX(Inv_Num,$L306))</f>
        <v/>
      </c>
      <c r="B306" s="67" t="str">
        <f aca="false">IF($L306="","",INDEX(Inv_Nom,$L306))</f>
        <v/>
      </c>
      <c r="C306" s="67" t="str">
        <f aca="false">IF($L306="","",T(INDEX(Inv_Fourn,$L306)))</f>
        <v/>
      </c>
      <c r="D306" s="83" t="str">
        <f aca="false">IF($L306="","",INDEX(Inv_StatutFDS,$L306))</f>
        <v/>
      </c>
      <c r="E306" s="85" t="str">
        <f aca="false">IF($L306="","",IF(INDEX(Inv_DateFDS,$L306)=0,"—",INDEX(Inv_DateFDS,$L306)))</f>
        <v/>
      </c>
      <c r="F306" s="85" t="str">
        <f aca="false">IF($L306="","",IF(INDEX(Inv_ProchVerif,$L306)="","—",INDEX(Inv_ProchVerif,$L306)))</f>
        <v/>
      </c>
      <c r="G306" s="87" t="str">
        <f aca="true">IF($L306="","",IF(OR(F306="—",F306=""),"—",F306-TODAY()))</f>
        <v/>
      </c>
      <c r="H306" s="83" t="str">
        <f aca="false">IF($L306="","",IF(AND(OR(D306="EXPIRÉE",D306="À RENOUVELER",D306="FDS ABSENTE"),J306="—"),"OUI","—"))</f>
        <v/>
      </c>
      <c r="I306" s="85" t="str">
        <f aca="false">IF($L306="","",IF(INDEX(Inv_DemFDS,$L306)=0,"—",INDEX(Inv_DemFDS,$L306)))</f>
        <v/>
      </c>
      <c r="J306" s="85" t="str">
        <f aca="false">IF($L306="","",IF(INDEX(Inv_RecFDS,$L306)=0,"—",INDEX(Inv_RecFDS,$L306)))</f>
        <v/>
      </c>
      <c r="L306" s="0" t="str">
        <f aca="false">IF(ROW()-5&gt;NbProduits,"",MATCH(SMALL(CleFDS,ROW()-5),CleFDS,0))</f>
        <v/>
      </c>
    </row>
    <row r="307" customFormat="false" ht="15" hidden="false" customHeight="false" outlineLevel="0" collapsed="false">
      <c r="A307" s="83" t="str">
        <f aca="false">IF($L307="","",INDEX(Inv_Num,$L307))</f>
        <v/>
      </c>
      <c r="B307" s="67" t="str">
        <f aca="false">IF($L307="","",INDEX(Inv_Nom,$L307))</f>
        <v/>
      </c>
      <c r="C307" s="67" t="str">
        <f aca="false">IF($L307="","",T(INDEX(Inv_Fourn,$L307)))</f>
        <v/>
      </c>
      <c r="D307" s="83" t="str">
        <f aca="false">IF($L307="","",INDEX(Inv_StatutFDS,$L307))</f>
        <v/>
      </c>
      <c r="E307" s="85" t="str">
        <f aca="false">IF($L307="","",IF(INDEX(Inv_DateFDS,$L307)=0,"—",INDEX(Inv_DateFDS,$L307)))</f>
        <v/>
      </c>
      <c r="F307" s="85" t="str">
        <f aca="false">IF($L307="","",IF(INDEX(Inv_ProchVerif,$L307)="","—",INDEX(Inv_ProchVerif,$L307)))</f>
        <v/>
      </c>
      <c r="G307" s="87" t="str">
        <f aca="true">IF($L307="","",IF(OR(F307="—",F307=""),"—",F307-TODAY()))</f>
        <v/>
      </c>
      <c r="H307" s="83" t="str">
        <f aca="false">IF($L307="","",IF(AND(OR(D307="EXPIRÉE",D307="À RENOUVELER",D307="FDS ABSENTE"),J307="—"),"OUI","—"))</f>
        <v/>
      </c>
      <c r="I307" s="85" t="str">
        <f aca="false">IF($L307="","",IF(INDEX(Inv_DemFDS,$L307)=0,"—",INDEX(Inv_DemFDS,$L307)))</f>
        <v/>
      </c>
      <c r="J307" s="85" t="str">
        <f aca="false">IF($L307="","",IF(INDEX(Inv_RecFDS,$L307)=0,"—",INDEX(Inv_RecFDS,$L307)))</f>
        <v/>
      </c>
      <c r="L307" s="0" t="str">
        <f aca="false">IF(ROW()-5&gt;NbProduits,"",MATCH(SMALL(CleFDS,ROW()-5),CleFDS,0))</f>
        <v/>
      </c>
    </row>
    <row r="308" customFormat="false" ht="15" hidden="false" customHeight="false" outlineLevel="0" collapsed="false">
      <c r="A308" s="83" t="str">
        <f aca="false">IF($L308="","",INDEX(Inv_Num,$L308))</f>
        <v/>
      </c>
      <c r="B308" s="67" t="str">
        <f aca="false">IF($L308="","",INDEX(Inv_Nom,$L308))</f>
        <v/>
      </c>
      <c r="C308" s="67" t="str">
        <f aca="false">IF($L308="","",T(INDEX(Inv_Fourn,$L308)))</f>
        <v/>
      </c>
      <c r="D308" s="83" t="str">
        <f aca="false">IF($L308="","",INDEX(Inv_StatutFDS,$L308))</f>
        <v/>
      </c>
      <c r="E308" s="85" t="str">
        <f aca="false">IF($L308="","",IF(INDEX(Inv_DateFDS,$L308)=0,"—",INDEX(Inv_DateFDS,$L308)))</f>
        <v/>
      </c>
      <c r="F308" s="85" t="str">
        <f aca="false">IF($L308="","",IF(INDEX(Inv_ProchVerif,$L308)="","—",INDEX(Inv_ProchVerif,$L308)))</f>
        <v/>
      </c>
      <c r="G308" s="87" t="str">
        <f aca="true">IF($L308="","",IF(OR(F308="—",F308=""),"—",F308-TODAY()))</f>
        <v/>
      </c>
      <c r="H308" s="83" t="str">
        <f aca="false">IF($L308="","",IF(AND(OR(D308="EXPIRÉE",D308="À RENOUVELER",D308="FDS ABSENTE"),J308="—"),"OUI","—"))</f>
        <v/>
      </c>
      <c r="I308" s="85" t="str">
        <f aca="false">IF($L308="","",IF(INDEX(Inv_DemFDS,$L308)=0,"—",INDEX(Inv_DemFDS,$L308)))</f>
        <v/>
      </c>
      <c r="J308" s="85" t="str">
        <f aca="false">IF($L308="","",IF(INDEX(Inv_RecFDS,$L308)=0,"—",INDEX(Inv_RecFDS,$L308)))</f>
        <v/>
      </c>
      <c r="L308" s="0" t="str">
        <f aca="false">IF(ROW()-5&gt;NbProduits,"",MATCH(SMALL(CleFDS,ROW()-5),CleFDS,0))</f>
        <v/>
      </c>
    </row>
    <row r="309" customFormat="false" ht="15" hidden="false" customHeight="false" outlineLevel="0" collapsed="false">
      <c r="A309" s="83" t="str">
        <f aca="false">IF($L309="","",INDEX(Inv_Num,$L309))</f>
        <v/>
      </c>
      <c r="B309" s="67" t="str">
        <f aca="false">IF($L309="","",INDEX(Inv_Nom,$L309))</f>
        <v/>
      </c>
      <c r="C309" s="67" t="str">
        <f aca="false">IF($L309="","",T(INDEX(Inv_Fourn,$L309)))</f>
        <v/>
      </c>
      <c r="D309" s="83" t="str">
        <f aca="false">IF($L309="","",INDEX(Inv_StatutFDS,$L309))</f>
        <v/>
      </c>
      <c r="E309" s="85" t="str">
        <f aca="false">IF($L309="","",IF(INDEX(Inv_DateFDS,$L309)=0,"—",INDEX(Inv_DateFDS,$L309)))</f>
        <v/>
      </c>
      <c r="F309" s="85" t="str">
        <f aca="false">IF($L309="","",IF(INDEX(Inv_ProchVerif,$L309)="","—",INDEX(Inv_ProchVerif,$L309)))</f>
        <v/>
      </c>
      <c r="G309" s="87" t="str">
        <f aca="true">IF($L309="","",IF(OR(F309="—",F309=""),"—",F309-TODAY()))</f>
        <v/>
      </c>
      <c r="H309" s="83" t="str">
        <f aca="false">IF($L309="","",IF(AND(OR(D309="EXPIRÉE",D309="À RENOUVELER",D309="FDS ABSENTE"),J309="—"),"OUI","—"))</f>
        <v/>
      </c>
      <c r="I309" s="85" t="str">
        <f aca="false">IF($L309="","",IF(INDEX(Inv_DemFDS,$L309)=0,"—",INDEX(Inv_DemFDS,$L309)))</f>
        <v/>
      </c>
      <c r="J309" s="85" t="str">
        <f aca="false">IF($L309="","",IF(INDEX(Inv_RecFDS,$L309)=0,"—",INDEX(Inv_RecFDS,$L309)))</f>
        <v/>
      </c>
      <c r="L309" s="0" t="str">
        <f aca="false">IF(ROW()-5&gt;NbProduits,"",MATCH(SMALL(CleFDS,ROW()-5),CleFDS,0))</f>
        <v/>
      </c>
    </row>
    <row r="310" customFormat="false" ht="15" hidden="false" customHeight="false" outlineLevel="0" collapsed="false">
      <c r="A310" s="83" t="str">
        <f aca="false">IF($L310="","",INDEX(Inv_Num,$L310))</f>
        <v/>
      </c>
      <c r="B310" s="67" t="str">
        <f aca="false">IF($L310="","",INDEX(Inv_Nom,$L310))</f>
        <v/>
      </c>
      <c r="C310" s="67" t="str">
        <f aca="false">IF($L310="","",T(INDEX(Inv_Fourn,$L310)))</f>
        <v/>
      </c>
      <c r="D310" s="83" t="str">
        <f aca="false">IF($L310="","",INDEX(Inv_StatutFDS,$L310))</f>
        <v/>
      </c>
      <c r="E310" s="85" t="str">
        <f aca="false">IF($L310="","",IF(INDEX(Inv_DateFDS,$L310)=0,"—",INDEX(Inv_DateFDS,$L310)))</f>
        <v/>
      </c>
      <c r="F310" s="85" t="str">
        <f aca="false">IF($L310="","",IF(INDEX(Inv_ProchVerif,$L310)="","—",INDEX(Inv_ProchVerif,$L310)))</f>
        <v/>
      </c>
      <c r="G310" s="87" t="str">
        <f aca="true">IF($L310="","",IF(OR(F310="—",F310=""),"—",F310-TODAY()))</f>
        <v/>
      </c>
      <c r="H310" s="83" t="str">
        <f aca="false">IF($L310="","",IF(AND(OR(D310="EXPIRÉE",D310="À RENOUVELER",D310="FDS ABSENTE"),J310="—"),"OUI","—"))</f>
        <v/>
      </c>
      <c r="I310" s="85" t="str">
        <f aca="false">IF($L310="","",IF(INDEX(Inv_DemFDS,$L310)=0,"—",INDEX(Inv_DemFDS,$L310)))</f>
        <v/>
      </c>
      <c r="J310" s="85" t="str">
        <f aca="false">IF($L310="","",IF(INDEX(Inv_RecFDS,$L310)=0,"—",INDEX(Inv_RecFDS,$L310)))</f>
        <v/>
      </c>
      <c r="L310" s="0" t="str">
        <f aca="false">IF(ROW()-5&gt;NbProduits,"",MATCH(SMALL(CleFDS,ROW()-5),CleFDS,0))</f>
        <v/>
      </c>
    </row>
    <row r="311" customFormat="false" ht="15" hidden="false" customHeight="false" outlineLevel="0" collapsed="false">
      <c r="A311" s="83" t="str">
        <f aca="false">IF($L311="","",INDEX(Inv_Num,$L311))</f>
        <v/>
      </c>
      <c r="B311" s="67" t="str">
        <f aca="false">IF($L311="","",INDEX(Inv_Nom,$L311))</f>
        <v/>
      </c>
      <c r="C311" s="67" t="str">
        <f aca="false">IF($L311="","",T(INDEX(Inv_Fourn,$L311)))</f>
        <v/>
      </c>
      <c r="D311" s="83" t="str">
        <f aca="false">IF($L311="","",INDEX(Inv_StatutFDS,$L311))</f>
        <v/>
      </c>
      <c r="E311" s="85" t="str">
        <f aca="false">IF($L311="","",IF(INDEX(Inv_DateFDS,$L311)=0,"—",INDEX(Inv_DateFDS,$L311)))</f>
        <v/>
      </c>
      <c r="F311" s="85" t="str">
        <f aca="false">IF($L311="","",IF(INDEX(Inv_ProchVerif,$L311)="","—",INDEX(Inv_ProchVerif,$L311)))</f>
        <v/>
      </c>
      <c r="G311" s="87" t="str">
        <f aca="true">IF($L311="","",IF(OR(F311="—",F311=""),"—",F311-TODAY()))</f>
        <v/>
      </c>
      <c r="H311" s="83" t="str">
        <f aca="false">IF($L311="","",IF(AND(OR(D311="EXPIRÉE",D311="À RENOUVELER",D311="FDS ABSENTE"),J311="—"),"OUI","—"))</f>
        <v/>
      </c>
      <c r="I311" s="85" t="str">
        <f aca="false">IF($L311="","",IF(INDEX(Inv_DemFDS,$L311)=0,"—",INDEX(Inv_DemFDS,$L311)))</f>
        <v/>
      </c>
      <c r="J311" s="85" t="str">
        <f aca="false">IF($L311="","",IF(INDEX(Inv_RecFDS,$L311)=0,"—",INDEX(Inv_RecFDS,$L311)))</f>
        <v/>
      </c>
      <c r="L311" s="0" t="str">
        <f aca="false">IF(ROW()-5&gt;NbProduits,"",MATCH(SMALL(CleFDS,ROW()-5),CleFDS,0))</f>
        <v/>
      </c>
    </row>
    <row r="312" customFormat="false" ht="15" hidden="false" customHeight="false" outlineLevel="0" collapsed="false">
      <c r="A312" s="83" t="str">
        <f aca="false">IF($L312="","",INDEX(Inv_Num,$L312))</f>
        <v/>
      </c>
      <c r="B312" s="67" t="str">
        <f aca="false">IF($L312="","",INDEX(Inv_Nom,$L312))</f>
        <v/>
      </c>
      <c r="C312" s="67" t="str">
        <f aca="false">IF($L312="","",T(INDEX(Inv_Fourn,$L312)))</f>
        <v/>
      </c>
      <c r="D312" s="83" t="str">
        <f aca="false">IF($L312="","",INDEX(Inv_StatutFDS,$L312))</f>
        <v/>
      </c>
      <c r="E312" s="85" t="str">
        <f aca="false">IF($L312="","",IF(INDEX(Inv_DateFDS,$L312)=0,"—",INDEX(Inv_DateFDS,$L312)))</f>
        <v/>
      </c>
      <c r="F312" s="85" t="str">
        <f aca="false">IF($L312="","",IF(INDEX(Inv_ProchVerif,$L312)="","—",INDEX(Inv_ProchVerif,$L312)))</f>
        <v/>
      </c>
      <c r="G312" s="87" t="str">
        <f aca="true">IF($L312="","",IF(OR(F312="—",F312=""),"—",F312-TODAY()))</f>
        <v/>
      </c>
      <c r="H312" s="83" t="str">
        <f aca="false">IF($L312="","",IF(AND(OR(D312="EXPIRÉE",D312="À RENOUVELER",D312="FDS ABSENTE"),J312="—"),"OUI","—"))</f>
        <v/>
      </c>
      <c r="I312" s="85" t="str">
        <f aca="false">IF($L312="","",IF(INDEX(Inv_DemFDS,$L312)=0,"—",INDEX(Inv_DemFDS,$L312)))</f>
        <v/>
      </c>
      <c r="J312" s="85" t="str">
        <f aca="false">IF($L312="","",IF(INDEX(Inv_RecFDS,$L312)=0,"—",INDEX(Inv_RecFDS,$L312)))</f>
        <v/>
      </c>
      <c r="L312" s="0" t="str">
        <f aca="false">IF(ROW()-5&gt;NbProduits,"",MATCH(SMALL(CleFDS,ROW()-5),CleFDS,0))</f>
        <v/>
      </c>
    </row>
    <row r="313" customFormat="false" ht="15" hidden="false" customHeight="false" outlineLevel="0" collapsed="false">
      <c r="A313" s="83" t="str">
        <f aca="false">IF($L313="","",INDEX(Inv_Num,$L313))</f>
        <v/>
      </c>
      <c r="B313" s="67" t="str">
        <f aca="false">IF($L313="","",INDEX(Inv_Nom,$L313))</f>
        <v/>
      </c>
      <c r="C313" s="67" t="str">
        <f aca="false">IF($L313="","",T(INDEX(Inv_Fourn,$L313)))</f>
        <v/>
      </c>
      <c r="D313" s="83" t="str">
        <f aca="false">IF($L313="","",INDEX(Inv_StatutFDS,$L313))</f>
        <v/>
      </c>
      <c r="E313" s="85" t="str">
        <f aca="false">IF($L313="","",IF(INDEX(Inv_DateFDS,$L313)=0,"—",INDEX(Inv_DateFDS,$L313)))</f>
        <v/>
      </c>
      <c r="F313" s="85" t="str">
        <f aca="false">IF($L313="","",IF(INDEX(Inv_ProchVerif,$L313)="","—",INDEX(Inv_ProchVerif,$L313)))</f>
        <v/>
      </c>
      <c r="G313" s="87" t="str">
        <f aca="true">IF($L313="","",IF(OR(F313="—",F313=""),"—",F313-TODAY()))</f>
        <v/>
      </c>
      <c r="H313" s="83" t="str">
        <f aca="false">IF($L313="","",IF(AND(OR(D313="EXPIRÉE",D313="À RENOUVELER",D313="FDS ABSENTE"),J313="—"),"OUI","—"))</f>
        <v/>
      </c>
      <c r="I313" s="85" t="str">
        <f aca="false">IF($L313="","",IF(INDEX(Inv_DemFDS,$L313)=0,"—",INDEX(Inv_DemFDS,$L313)))</f>
        <v/>
      </c>
      <c r="J313" s="85" t="str">
        <f aca="false">IF($L313="","",IF(INDEX(Inv_RecFDS,$L313)=0,"—",INDEX(Inv_RecFDS,$L313)))</f>
        <v/>
      </c>
      <c r="L313" s="0" t="str">
        <f aca="false">IF(ROW()-5&gt;NbProduits,"",MATCH(SMALL(CleFDS,ROW()-5),CleFDS,0))</f>
        <v/>
      </c>
    </row>
    <row r="314" customFormat="false" ht="15" hidden="false" customHeight="false" outlineLevel="0" collapsed="false">
      <c r="A314" s="83" t="str">
        <f aca="false">IF($L314="","",INDEX(Inv_Num,$L314))</f>
        <v/>
      </c>
      <c r="B314" s="67" t="str">
        <f aca="false">IF($L314="","",INDEX(Inv_Nom,$L314))</f>
        <v/>
      </c>
      <c r="C314" s="67" t="str">
        <f aca="false">IF($L314="","",T(INDEX(Inv_Fourn,$L314)))</f>
        <v/>
      </c>
      <c r="D314" s="83" t="str">
        <f aca="false">IF($L314="","",INDEX(Inv_StatutFDS,$L314))</f>
        <v/>
      </c>
      <c r="E314" s="85" t="str">
        <f aca="false">IF($L314="","",IF(INDEX(Inv_DateFDS,$L314)=0,"—",INDEX(Inv_DateFDS,$L314)))</f>
        <v/>
      </c>
      <c r="F314" s="85" t="str">
        <f aca="false">IF($L314="","",IF(INDEX(Inv_ProchVerif,$L314)="","—",INDEX(Inv_ProchVerif,$L314)))</f>
        <v/>
      </c>
      <c r="G314" s="87" t="str">
        <f aca="true">IF($L314="","",IF(OR(F314="—",F314=""),"—",F314-TODAY()))</f>
        <v/>
      </c>
      <c r="H314" s="83" t="str">
        <f aca="false">IF($L314="","",IF(AND(OR(D314="EXPIRÉE",D314="À RENOUVELER",D314="FDS ABSENTE"),J314="—"),"OUI","—"))</f>
        <v/>
      </c>
      <c r="I314" s="85" t="str">
        <f aca="false">IF($L314="","",IF(INDEX(Inv_DemFDS,$L314)=0,"—",INDEX(Inv_DemFDS,$L314)))</f>
        <v/>
      </c>
      <c r="J314" s="85" t="str">
        <f aca="false">IF($L314="","",IF(INDEX(Inv_RecFDS,$L314)=0,"—",INDEX(Inv_RecFDS,$L314)))</f>
        <v/>
      </c>
      <c r="L314" s="0" t="str">
        <f aca="false">IF(ROW()-5&gt;NbProduits,"",MATCH(SMALL(CleFDS,ROW()-5),CleFDS,0))</f>
        <v/>
      </c>
    </row>
    <row r="315" customFormat="false" ht="15" hidden="false" customHeight="false" outlineLevel="0" collapsed="false">
      <c r="A315" s="83" t="str">
        <f aca="false">IF($L315="","",INDEX(Inv_Num,$L315))</f>
        <v/>
      </c>
      <c r="B315" s="67" t="str">
        <f aca="false">IF($L315="","",INDEX(Inv_Nom,$L315))</f>
        <v/>
      </c>
      <c r="C315" s="67" t="str">
        <f aca="false">IF($L315="","",T(INDEX(Inv_Fourn,$L315)))</f>
        <v/>
      </c>
      <c r="D315" s="83" t="str">
        <f aca="false">IF($L315="","",INDEX(Inv_StatutFDS,$L315))</f>
        <v/>
      </c>
      <c r="E315" s="85" t="str">
        <f aca="false">IF($L315="","",IF(INDEX(Inv_DateFDS,$L315)=0,"—",INDEX(Inv_DateFDS,$L315)))</f>
        <v/>
      </c>
      <c r="F315" s="85" t="str">
        <f aca="false">IF($L315="","",IF(INDEX(Inv_ProchVerif,$L315)="","—",INDEX(Inv_ProchVerif,$L315)))</f>
        <v/>
      </c>
      <c r="G315" s="87" t="str">
        <f aca="true">IF($L315="","",IF(OR(F315="—",F315=""),"—",F315-TODAY()))</f>
        <v/>
      </c>
      <c r="H315" s="83" t="str">
        <f aca="false">IF($L315="","",IF(AND(OR(D315="EXPIRÉE",D315="À RENOUVELER",D315="FDS ABSENTE"),J315="—"),"OUI","—"))</f>
        <v/>
      </c>
      <c r="I315" s="85" t="str">
        <f aca="false">IF($L315="","",IF(INDEX(Inv_DemFDS,$L315)=0,"—",INDEX(Inv_DemFDS,$L315)))</f>
        <v/>
      </c>
      <c r="J315" s="85" t="str">
        <f aca="false">IF($L315="","",IF(INDEX(Inv_RecFDS,$L315)=0,"—",INDEX(Inv_RecFDS,$L315)))</f>
        <v/>
      </c>
      <c r="L315" s="0" t="str">
        <f aca="false">IF(ROW()-5&gt;NbProduits,"",MATCH(SMALL(CleFDS,ROW()-5),CleFDS,0))</f>
        <v/>
      </c>
    </row>
    <row r="316" customFormat="false" ht="15" hidden="false" customHeight="false" outlineLevel="0" collapsed="false">
      <c r="A316" s="83" t="str">
        <f aca="false">IF($L316="","",INDEX(Inv_Num,$L316))</f>
        <v/>
      </c>
      <c r="B316" s="67" t="str">
        <f aca="false">IF($L316="","",INDEX(Inv_Nom,$L316))</f>
        <v/>
      </c>
      <c r="C316" s="67" t="str">
        <f aca="false">IF($L316="","",T(INDEX(Inv_Fourn,$L316)))</f>
        <v/>
      </c>
      <c r="D316" s="83" t="str">
        <f aca="false">IF($L316="","",INDEX(Inv_StatutFDS,$L316))</f>
        <v/>
      </c>
      <c r="E316" s="85" t="str">
        <f aca="false">IF($L316="","",IF(INDEX(Inv_DateFDS,$L316)=0,"—",INDEX(Inv_DateFDS,$L316)))</f>
        <v/>
      </c>
      <c r="F316" s="85" t="str">
        <f aca="false">IF($L316="","",IF(INDEX(Inv_ProchVerif,$L316)="","—",INDEX(Inv_ProchVerif,$L316)))</f>
        <v/>
      </c>
      <c r="G316" s="87" t="str">
        <f aca="true">IF($L316="","",IF(OR(F316="—",F316=""),"—",F316-TODAY()))</f>
        <v/>
      </c>
      <c r="H316" s="83" t="str">
        <f aca="false">IF($L316="","",IF(AND(OR(D316="EXPIRÉE",D316="À RENOUVELER",D316="FDS ABSENTE"),J316="—"),"OUI","—"))</f>
        <v/>
      </c>
      <c r="I316" s="85" t="str">
        <f aca="false">IF($L316="","",IF(INDEX(Inv_DemFDS,$L316)=0,"—",INDEX(Inv_DemFDS,$L316)))</f>
        <v/>
      </c>
      <c r="J316" s="85" t="str">
        <f aca="false">IF($L316="","",IF(INDEX(Inv_RecFDS,$L316)=0,"—",INDEX(Inv_RecFDS,$L316)))</f>
        <v/>
      </c>
      <c r="L316" s="0" t="str">
        <f aca="false">IF(ROW()-5&gt;NbProduits,"",MATCH(SMALL(CleFDS,ROW()-5),CleFDS,0))</f>
        <v/>
      </c>
    </row>
    <row r="317" customFormat="false" ht="15" hidden="false" customHeight="false" outlineLevel="0" collapsed="false">
      <c r="A317" s="83" t="str">
        <f aca="false">IF($L317="","",INDEX(Inv_Num,$L317))</f>
        <v/>
      </c>
      <c r="B317" s="67" t="str">
        <f aca="false">IF($L317="","",INDEX(Inv_Nom,$L317))</f>
        <v/>
      </c>
      <c r="C317" s="67" t="str">
        <f aca="false">IF($L317="","",T(INDEX(Inv_Fourn,$L317)))</f>
        <v/>
      </c>
      <c r="D317" s="83" t="str">
        <f aca="false">IF($L317="","",INDEX(Inv_StatutFDS,$L317))</f>
        <v/>
      </c>
      <c r="E317" s="85" t="str">
        <f aca="false">IF($L317="","",IF(INDEX(Inv_DateFDS,$L317)=0,"—",INDEX(Inv_DateFDS,$L317)))</f>
        <v/>
      </c>
      <c r="F317" s="85" t="str">
        <f aca="false">IF($L317="","",IF(INDEX(Inv_ProchVerif,$L317)="","—",INDEX(Inv_ProchVerif,$L317)))</f>
        <v/>
      </c>
      <c r="G317" s="87" t="str">
        <f aca="true">IF($L317="","",IF(OR(F317="—",F317=""),"—",F317-TODAY()))</f>
        <v/>
      </c>
      <c r="H317" s="83" t="str">
        <f aca="false">IF($L317="","",IF(AND(OR(D317="EXPIRÉE",D317="À RENOUVELER",D317="FDS ABSENTE"),J317="—"),"OUI","—"))</f>
        <v/>
      </c>
      <c r="I317" s="85" t="str">
        <f aca="false">IF($L317="","",IF(INDEX(Inv_DemFDS,$L317)=0,"—",INDEX(Inv_DemFDS,$L317)))</f>
        <v/>
      </c>
      <c r="J317" s="85" t="str">
        <f aca="false">IF($L317="","",IF(INDEX(Inv_RecFDS,$L317)=0,"—",INDEX(Inv_RecFDS,$L317)))</f>
        <v/>
      </c>
      <c r="L317" s="0" t="str">
        <f aca="false">IF(ROW()-5&gt;NbProduits,"",MATCH(SMALL(CleFDS,ROW()-5),CleFDS,0))</f>
        <v/>
      </c>
    </row>
    <row r="318" customFormat="false" ht="15" hidden="false" customHeight="false" outlineLevel="0" collapsed="false">
      <c r="A318" s="83" t="str">
        <f aca="false">IF($L318="","",INDEX(Inv_Num,$L318))</f>
        <v/>
      </c>
      <c r="B318" s="67" t="str">
        <f aca="false">IF($L318="","",INDEX(Inv_Nom,$L318))</f>
        <v/>
      </c>
      <c r="C318" s="67" t="str">
        <f aca="false">IF($L318="","",T(INDEX(Inv_Fourn,$L318)))</f>
        <v/>
      </c>
      <c r="D318" s="83" t="str">
        <f aca="false">IF($L318="","",INDEX(Inv_StatutFDS,$L318))</f>
        <v/>
      </c>
      <c r="E318" s="85" t="str">
        <f aca="false">IF($L318="","",IF(INDEX(Inv_DateFDS,$L318)=0,"—",INDEX(Inv_DateFDS,$L318)))</f>
        <v/>
      </c>
      <c r="F318" s="85" t="str">
        <f aca="false">IF($L318="","",IF(INDEX(Inv_ProchVerif,$L318)="","—",INDEX(Inv_ProchVerif,$L318)))</f>
        <v/>
      </c>
      <c r="G318" s="87" t="str">
        <f aca="true">IF($L318="","",IF(OR(F318="—",F318=""),"—",F318-TODAY()))</f>
        <v/>
      </c>
      <c r="H318" s="83" t="str">
        <f aca="false">IF($L318="","",IF(AND(OR(D318="EXPIRÉE",D318="À RENOUVELER",D318="FDS ABSENTE"),J318="—"),"OUI","—"))</f>
        <v/>
      </c>
      <c r="I318" s="85" t="str">
        <f aca="false">IF($L318="","",IF(INDEX(Inv_DemFDS,$L318)=0,"—",INDEX(Inv_DemFDS,$L318)))</f>
        <v/>
      </c>
      <c r="J318" s="85" t="str">
        <f aca="false">IF($L318="","",IF(INDEX(Inv_RecFDS,$L318)=0,"—",INDEX(Inv_RecFDS,$L318)))</f>
        <v/>
      </c>
      <c r="L318" s="0" t="str">
        <f aca="false">IF(ROW()-5&gt;NbProduits,"",MATCH(SMALL(CleFDS,ROW()-5),CleFDS,0))</f>
        <v/>
      </c>
    </row>
    <row r="319" customFormat="false" ht="15" hidden="false" customHeight="false" outlineLevel="0" collapsed="false">
      <c r="A319" s="83" t="str">
        <f aca="false">IF($L319="","",INDEX(Inv_Num,$L319))</f>
        <v/>
      </c>
      <c r="B319" s="67" t="str">
        <f aca="false">IF($L319="","",INDEX(Inv_Nom,$L319))</f>
        <v/>
      </c>
      <c r="C319" s="67" t="str">
        <f aca="false">IF($L319="","",T(INDEX(Inv_Fourn,$L319)))</f>
        <v/>
      </c>
      <c r="D319" s="83" t="str">
        <f aca="false">IF($L319="","",INDEX(Inv_StatutFDS,$L319))</f>
        <v/>
      </c>
      <c r="E319" s="85" t="str">
        <f aca="false">IF($L319="","",IF(INDEX(Inv_DateFDS,$L319)=0,"—",INDEX(Inv_DateFDS,$L319)))</f>
        <v/>
      </c>
      <c r="F319" s="85" t="str">
        <f aca="false">IF($L319="","",IF(INDEX(Inv_ProchVerif,$L319)="","—",INDEX(Inv_ProchVerif,$L319)))</f>
        <v/>
      </c>
      <c r="G319" s="87" t="str">
        <f aca="true">IF($L319="","",IF(OR(F319="—",F319=""),"—",F319-TODAY()))</f>
        <v/>
      </c>
      <c r="H319" s="83" t="str">
        <f aca="false">IF($L319="","",IF(AND(OR(D319="EXPIRÉE",D319="À RENOUVELER",D319="FDS ABSENTE"),J319="—"),"OUI","—"))</f>
        <v/>
      </c>
      <c r="I319" s="85" t="str">
        <f aca="false">IF($L319="","",IF(INDEX(Inv_DemFDS,$L319)=0,"—",INDEX(Inv_DemFDS,$L319)))</f>
        <v/>
      </c>
      <c r="J319" s="85" t="str">
        <f aca="false">IF($L319="","",IF(INDEX(Inv_RecFDS,$L319)=0,"—",INDEX(Inv_RecFDS,$L319)))</f>
        <v/>
      </c>
      <c r="L319" s="0" t="str">
        <f aca="false">IF(ROW()-5&gt;NbProduits,"",MATCH(SMALL(CleFDS,ROW()-5),CleFDS,0))</f>
        <v/>
      </c>
    </row>
    <row r="320" customFormat="false" ht="15" hidden="false" customHeight="false" outlineLevel="0" collapsed="false">
      <c r="A320" s="83" t="str">
        <f aca="false">IF($L320="","",INDEX(Inv_Num,$L320))</f>
        <v/>
      </c>
      <c r="B320" s="67" t="str">
        <f aca="false">IF($L320="","",INDEX(Inv_Nom,$L320))</f>
        <v/>
      </c>
      <c r="C320" s="67" t="str">
        <f aca="false">IF($L320="","",T(INDEX(Inv_Fourn,$L320)))</f>
        <v/>
      </c>
      <c r="D320" s="83" t="str">
        <f aca="false">IF($L320="","",INDEX(Inv_StatutFDS,$L320))</f>
        <v/>
      </c>
      <c r="E320" s="85" t="str">
        <f aca="false">IF($L320="","",IF(INDEX(Inv_DateFDS,$L320)=0,"—",INDEX(Inv_DateFDS,$L320)))</f>
        <v/>
      </c>
      <c r="F320" s="85" t="str">
        <f aca="false">IF($L320="","",IF(INDEX(Inv_ProchVerif,$L320)="","—",INDEX(Inv_ProchVerif,$L320)))</f>
        <v/>
      </c>
      <c r="G320" s="87" t="str">
        <f aca="true">IF($L320="","",IF(OR(F320="—",F320=""),"—",F320-TODAY()))</f>
        <v/>
      </c>
      <c r="H320" s="83" t="str">
        <f aca="false">IF($L320="","",IF(AND(OR(D320="EXPIRÉE",D320="À RENOUVELER",D320="FDS ABSENTE"),J320="—"),"OUI","—"))</f>
        <v/>
      </c>
      <c r="I320" s="85" t="str">
        <f aca="false">IF($L320="","",IF(INDEX(Inv_DemFDS,$L320)=0,"—",INDEX(Inv_DemFDS,$L320)))</f>
        <v/>
      </c>
      <c r="J320" s="85" t="str">
        <f aca="false">IF($L320="","",IF(INDEX(Inv_RecFDS,$L320)=0,"—",INDEX(Inv_RecFDS,$L320)))</f>
        <v/>
      </c>
      <c r="L320" s="0" t="str">
        <f aca="false">IF(ROW()-5&gt;NbProduits,"",MATCH(SMALL(CleFDS,ROW()-5),CleFDS,0))</f>
        <v/>
      </c>
    </row>
    <row r="321" customFormat="false" ht="15" hidden="false" customHeight="false" outlineLevel="0" collapsed="false">
      <c r="A321" s="83" t="str">
        <f aca="false">IF($L321="","",INDEX(Inv_Num,$L321))</f>
        <v/>
      </c>
      <c r="B321" s="67" t="str">
        <f aca="false">IF($L321="","",INDEX(Inv_Nom,$L321))</f>
        <v/>
      </c>
      <c r="C321" s="67" t="str">
        <f aca="false">IF($L321="","",T(INDEX(Inv_Fourn,$L321)))</f>
        <v/>
      </c>
      <c r="D321" s="83" t="str">
        <f aca="false">IF($L321="","",INDEX(Inv_StatutFDS,$L321))</f>
        <v/>
      </c>
      <c r="E321" s="85" t="str">
        <f aca="false">IF($L321="","",IF(INDEX(Inv_DateFDS,$L321)=0,"—",INDEX(Inv_DateFDS,$L321)))</f>
        <v/>
      </c>
      <c r="F321" s="85" t="str">
        <f aca="false">IF($L321="","",IF(INDEX(Inv_ProchVerif,$L321)="","—",INDEX(Inv_ProchVerif,$L321)))</f>
        <v/>
      </c>
      <c r="G321" s="87" t="str">
        <f aca="true">IF($L321="","",IF(OR(F321="—",F321=""),"—",F321-TODAY()))</f>
        <v/>
      </c>
      <c r="H321" s="83" t="str">
        <f aca="false">IF($L321="","",IF(AND(OR(D321="EXPIRÉE",D321="À RENOUVELER",D321="FDS ABSENTE"),J321="—"),"OUI","—"))</f>
        <v/>
      </c>
      <c r="I321" s="85" t="str">
        <f aca="false">IF($L321="","",IF(INDEX(Inv_DemFDS,$L321)=0,"—",INDEX(Inv_DemFDS,$L321)))</f>
        <v/>
      </c>
      <c r="J321" s="85" t="str">
        <f aca="false">IF($L321="","",IF(INDEX(Inv_RecFDS,$L321)=0,"—",INDEX(Inv_RecFDS,$L321)))</f>
        <v/>
      </c>
      <c r="L321" s="0" t="str">
        <f aca="false">IF(ROW()-5&gt;NbProduits,"",MATCH(SMALL(CleFDS,ROW()-5),CleFDS,0))</f>
        <v/>
      </c>
    </row>
    <row r="322" customFormat="false" ht="15" hidden="false" customHeight="false" outlineLevel="0" collapsed="false">
      <c r="A322" s="83" t="str">
        <f aca="false">IF($L322="","",INDEX(Inv_Num,$L322))</f>
        <v/>
      </c>
      <c r="B322" s="67" t="str">
        <f aca="false">IF($L322="","",INDEX(Inv_Nom,$L322))</f>
        <v/>
      </c>
      <c r="C322" s="67" t="str">
        <f aca="false">IF($L322="","",T(INDEX(Inv_Fourn,$L322)))</f>
        <v/>
      </c>
      <c r="D322" s="83" t="str">
        <f aca="false">IF($L322="","",INDEX(Inv_StatutFDS,$L322))</f>
        <v/>
      </c>
      <c r="E322" s="85" t="str">
        <f aca="false">IF($L322="","",IF(INDEX(Inv_DateFDS,$L322)=0,"—",INDEX(Inv_DateFDS,$L322)))</f>
        <v/>
      </c>
      <c r="F322" s="85" t="str">
        <f aca="false">IF($L322="","",IF(INDEX(Inv_ProchVerif,$L322)="","—",INDEX(Inv_ProchVerif,$L322)))</f>
        <v/>
      </c>
      <c r="G322" s="87" t="str">
        <f aca="true">IF($L322="","",IF(OR(F322="—",F322=""),"—",F322-TODAY()))</f>
        <v/>
      </c>
      <c r="H322" s="83" t="str">
        <f aca="false">IF($L322="","",IF(AND(OR(D322="EXPIRÉE",D322="À RENOUVELER",D322="FDS ABSENTE"),J322="—"),"OUI","—"))</f>
        <v/>
      </c>
      <c r="I322" s="85" t="str">
        <f aca="false">IF($L322="","",IF(INDEX(Inv_DemFDS,$L322)=0,"—",INDEX(Inv_DemFDS,$L322)))</f>
        <v/>
      </c>
      <c r="J322" s="85" t="str">
        <f aca="false">IF($L322="","",IF(INDEX(Inv_RecFDS,$L322)=0,"—",INDEX(Inv_RecFDS,$L322)))</f>
        <v/>
      </c>
      <c r="L322" s="0" t="str">
        <f aca="false">IF(ROW()-5&gt;NbProduits,"",MATCH(SMALL(CleFDS,ROW()-5),CleFDS,0))</f>
        <v/>
      </c>
    </row>
    <row r="323" customFormat="false" ht="15" hidden="false" customHeight="false" outlineLevel="0" collapsed="false">
      <c r="A323" s="83" t="str">
        <f aca="false">IF($L323="","",INDEX(Inv_Num,$L323))</f>
        <v/>
      </c>
      <c r="B323" s="67" t="str">
        <f aca="false">IF($L323="","",INDEX(Inv_Nom,$L323))</f>
        <v/>
      </c>
      <c r="C323" s="67" t="str">
        <f aca="false">IF($L323="","",T(INDEX(Inv_Fourn,$L323)))</f>
        <v/>
      </c>
      <c r="D323" s="83" t="str">
        <f aca="false">IF($L323="","",INDEX(Inv_StatutFDS,$L323))</f>
        <v/>
      </c>
      <c r="E323" s="85" t="str">
        <f aca="false">IF($L323="","",IF(INDEX(Inv_DateFDS,$L323)=0,"—",INDEX(Inv_DateFDS,$L323)))</f>
        <v/>
      </c>
      <c r="F323" s="85" t="str">
        <f aca="false">IF($L323="","",IF(INDEX(Inv_ProchVerif,$L323)="","—",INDEX(Inv_ProchVerif,$L323)))</f>
        <v/>
      </c>
      <c r="G323" s="87" t="str">
        <f aca="true">IF($L323="","",IF(OR(F323="—",F323=""),"—",F323-TODAY()))</f>
        <v/>
      </c>
      <c r="H323" s="83" t="str">
        <f aca="false">IF($L323="","",IF(AND(OR(D323="EXPIRÉE",D323="À RENOUVELER",D323="FDS ABSENTE"),J323="—"),"OUI","—"))</f>
        <v/>
      </c>
      <c r="I323" s="85" t="str">
        <f aca="false">IF($L323="","",IF(INDEX(Inv_DemFDS,$L323)=0,"—",INDEX(Inv_DemFDS,$L323)))</f>
        <v/>
      </c>
      <c r="J323" s="85" t="str">
        <f aca="false">IF($L323="","",IF(INDEX(Inv_RecFDS,$L323)=0,"—",INDEX(Inv_RecFDS,$L323)))</f>
        <v/>
      </c>
      <c r="L323" s="0" t="str">
        <f aca="false">IF(ROW()-5&gt;NbProduits,"",MATCH(SMALL(CleFDS,ROW()-5),CleFDS,0))</f>
        <v/>
      </c>
    </row>
    <row r="324" customFormat="false" ht="15" hidden="false" customHeight="false" outlineLevel="0" collapsed="false">
      <c r="A324" s="83" t="str">
        <f aca="false">IF($L324="","",INDEX(Inv_Num,$L324))</f>
        <v/>
      </c>
      <c r="B324" s="67" t="str">
        <f aca="false">IF($L324="","",INDEX(Inv_Nom,$L324))</f>
        <v/>
      </c>
      <c r="C324" s="67" t="str">
        <f aca="false">IF($L324="","",T(INDEX(Inv_Fourn,$L324)))</f>
        <v/>
      </c>
      <c r="D324" s="83" t="str">
        <f aca="false">IF($L324="","",INDEX(Inv_StatutFDS,$L324))</f>
        <v/>
      </c>
      <c r="E324" s="85" t="str">
        <f aca="false">IF($L324="","",IF(INDEX(Inv_DateFDS,$L324)=0,"—",INDEX(Inv_DateFDS,$L324)))</f>
        <v/>
      </c>
      <c r="F324" s="85" t="str">
        <f aca="false">IF($L324="","",IF(INDEX(Inv_ProchVerif,$L324)="","—",INDEX(Inv_ProchVerif,$L324)))</f>
        <v/>
      </c>
      <c r="G324" s="87" t="str">
        <f aca="true">IF($L324="","",IF(OR(F324="—",F324=""),"—",F324-TODAY()))</f>
        <v/>
      </c>
      <c r="H324" s="83" t="str">
        <f aca="false">IF($L324="","",IF(AND(OR(D324="EXPIRÉE",D324="À RENOUVELER",D324="FDS ABSENTE"),J324="—"),"OUI","—"))</f>
        <v/>
      </c>
      <c r="I324" s="85" t="str">
        <f aca="false">IF($L324="","",IF(INDEX(Inv_DemFDS,$L324)=0,"—",INDEX(Inv_DemFDS,$L324)))</f>
        <v/>
      </c>
      <c r="J324" s="85" t="str">
        <f aca="false">IF($L324="","",IF(INDEX(Inv_RecFDS,$L324)=0,"—",INDEX(Inv_RecFDS,$L324)))</f>
        <v/>
      </c>
      <c r="L324" s="0" t="str">
        <f aca="false">IF(ROW()-5&gt;NbProduits,"",MATCH(SMALL(CleFDS,ROW()-5),CleFDS,0))</f>
        <v/>
      </c>
    </row>
    <row r="325" customFormat="false" ht="15" hidden="false" customHeight="false" outlineLevel="0" collapsed="false">
      <c r="A325" s="83" t="str">
        <f aca="false">IF($L325="","",INDEX(Inv_Num,$L325))</f>
        <v/>
      </c>
      <c r="B325" s="67" t="str">
        <f aca="false">IF($L325="","",INDEX(Inv_Nom,$L325))</f>
        <v/>
      </c>
      <c r="C325" s="67" t="str">
        <f aca="false">IF($L325="","",T(INDEX(Inv_Fourn,$L325)))</f>
        <v/>
      </c>
      <c r="D325" s="83" t="str">
        <f aca="false">IF($L325="","",INDEX(Inv_StatutFDS,$L325))</f>
        <v/>
      </c>
      <c r="E325" s="85" t="str">
        <f aca="false">IF($L325="","",IF(INDEX(Inv_DateFDS,$L325)=0,"—",INDEX(Inv_DateFDS,$L325)))</f>
        <v/>
      </c>
      <c r="F325" s="85" t="str">
        <f aca="false">IF($L325="","",IF(INDEX(Inv_ProchVerif,$L325)="","—",INDEX(Inv_ProchVerif,$L325)))</f>
        <v/>
      </c>
      <c r="G325" s="87" t="str">
        <f aca="true">IF($L325="","",IF(OR(F325="—",F325=""),"—",F325-TODAY()))</f>
        <v/>
      </c>
      <c r="H325" s="83" t="str">
        <f aca="false">IF($L325="","",IF(AND(OR(D325="EXPIRÉE",D325="À RENOUVELER",D325="FDS ABSENTE"),J325="—"),"OUI","—"))</f>
        <v/>
      </c>
      <c r="I325" s="85" t="str">
        <f aca="false">IF($L325="","",IF(INDEX(Inv_DemFDS,$L325)=0,"—",INDEX(Inv_DemFDS,$L325)))</f>
        <v/>
      </c>
      <c r="J325" s="85" t="str">
        <f aca="false">IF($L325="","",IF(INDEX(Inv_RecFDS,$L325)=0,"—",INDEX(Inv_RecFDS,$L325)))</f>
        <v/>
      </c>
      <c r="L325" s="0" t="str">
        <f aca="false">IF(ROW()-5&gt;NbProduits,"",MATCH(SMALL(CleFDS,ROW()-5),CleFDS,0))</f>
        <v/>
      </c>
    </row>
  </sheetData>
  <sheetProtection sheet="true" password="df18" formatCells="false" formatColumns="false" formatRows="false" insertRows="false" deleteRows="false" sort="false" autoFilter="false"/>
  <mergeCells count="7">
    <mergeCell ref="A1:J1"/>
    <mergeCell ref="A2:J2"/>
    <mergeCell ref="B3:C3"/>
    <mergeCell ref="E3:F3"/>
    <mergeCell ref="H3:I3"/>
    <mergeCell ref="B4:C4"/>
    <mergeCell ref="E4:J4"/>
  </mergeCells>
  <conditionalFormatting sqref="G6:G325">
    <cfRule type="expression" priority="2" aboveAverage="0" equalAverage="0" bottom="0" percent="0" rank="0" text="" dxfId="26">
      <formula>AND(ISNUMBER(G6),G6&lt;0)</formula>
    </cfRule>
    <cfRule type="expression" priority="3" aboveAverage="0" equalAverage="0" bottom="0" percent="0" rank="0" text="" dxfId="25">
      <formula>AND(ISNUMBER(G6),G6&lt;=180)</formula>
    </cfRule>
    <cfRule type="expression" priority="4" aboveAverage="0" equalAverage="0" bottom="0" percent="0" rank="0" text="" dxfId="24">
      <formula>AND(ISNUMBER(G6),G6&gt;180)</formula>
    </cfRule>
  </conditionalFormatting>
  <conditionalFormatting sqref="D6:D325">
    <cfRule type="cellIs" priority="5" operator="equal" aboveAverage="0" equalAverage="0" bottom="0" percent="0" rank="0" text="" dxfId="24">
      <formula>"CONFORME"</formula>
    </cfRule>
    <cfRule type="cellIs" priority="6" operator="equal" aboveAverage="0" equalAverage="0" bottom="0" percent="0" rank="0" text="" dxfId="25">
      <formula>"À RENOUVELER"</formula>
    </cfRule>
    <cfRule type="cellIs" priority="7" operator="equal" aboveAverage="0" equalAverage="0" bottom="0" percent="0" rank="0" text="" dxfId="26">
      <formula>"EXPIRÉE"</formula>
    </cfRule>
    <cfRule type="cellIs" priority="8" operator="equal" aboveAverage="0" equalAverage="0" bottom="0" percent="0" rank="0" text="" dxfId="27">
      <formula>"FDS ABSENTE"</formula>
    </cfRule>
  </conditionalFormatting>
  <conditionalFormatting sqref="H6:H325">
    <cfRule type="cellIs" priority="9" operator="equal" aboveAverage="0" equalAverage="0" bottom="0" percent="0" rank="0" text="" dxfId="28">
      <formula>"OUI"</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6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4" min="1" style="0" width="24"/>
    <col collapsed="false" customWidth="true" hidden="false" outlineLevel="0" max="16" min="15" style="0" width="18"/>
  </cols>
  <sheetData>
    <row r="1" customFormat="false" ht="25.5" hidden="false" customHeight="true" outlineLevel="0" collapsed="false">
      <c r="A1" s="90" t="s">
        <v>539</v>
      </c>
      <c r="B1" s="90"/>
      <c r="C1" s="90"/>
      <c r="D1" s="90"/>
      <c r="E1" s="90"/>
      <c r="F1" s="90"/>
      <c r="G1" s="90"/>
      <c r="H1" s="90"/>
      <c r="I1" s="90"/>
      <c r="J1" s="90"/>
      <c r="K1" s="90"/>
      <c r="L1" s="90"/>
      <c r="M1" s="90"/>
      <c r="N1" s="90"/>
      <c r="O1" s="90"/>
      <c r="P1" s="90"/>
    </row>
    <row r="2" customFormat="false" ht="15" hidden="false" customHeight="true" outlineLevel="0" collapsed="false">
      <c r="A2" s="5" t="s">
        <v>540</v>
      </c>
      <c r="B2" s="5"/>
      <c r="C2" s="5"/>
      <c r="D2" s="5"/>
      <c r="E2" s="5"/>
      <c r="F2" s="5"/>
      <c r="G2" s="5"/>
      <c r="H2" s="5"/>
      <c r="I2" s="5"/>
      <c r="J2" s="5"/>
      <c r="K2" s="5"/>
      <c r="L2" s="5"/>
      <c r="M2" s="5"/>
      <c r="N2" s="5"/>
      <c r="O2" s="5"/>
      <c r="P2" s="5"/>
    </row>
    <row r="3" customFormat="false" ht="15" hidden="false" customHeight="true" outlineLevel="0" collapsed="false">
      <c r="A3" s="5" t="s">
        <v>541</v>
      </c>
      <c r="B3" s="5"/>
      <c r="C3" s="5"/>
      <c r="D3" s="5"/>
      <c r="E3" s="5"/>
      <c r="F3" s="5"/>
      <c r="G3" s="5"/>
      <c r="H3" s="5"/>
      <c r="I3" s="5"/>
      <c r="J3" s="5"/>
      <c r="K3" s="5"/>
      <c r="L3" s="5"/>
      <c r="M3" s="5"/>
      <c r="N3" s="5"/>
      <c r="O3" s="5"/>
      <c r="P3" s="5"/>
    </row>
    <row r="4" customFormat="false" ht="30" hidden="false" customHeight="true" outlineLevel="0" collapsed="false">
      <c r="A4" s="82" t="s">
        <v>542</v>
      </c>
      <c r="B4" s="82" t="s">
        <v>543</v>
      </c>
      <c r="C4" s="82" t="s">
        <v>544</v>
      </c>
      <c r="D4" s="82" t="s">
        <v>545</v>
      </c>
      <c r="E4" s="82" t="s">
        <v>546</v>
      </c>
      <c r="F4" s="82" t="s">
        <v>547</v>
      </c>
      <c r="G4" s="82" t="s">
        <v>548</v>
      </c>
      <c r="H4" s="82" t="s">
        <v>549</v>
      </c>
      <c r="I4" s="82" t="s">
        <v>550</v>
      </c>
      <c r="J4" s="82" t="s">
        <v>551</v>
      </c>
      <c r="K4" s="82" t="s">
        <v>552</v>
      </c>
      <c r="L4" s="82" t="s">
        <v>553</v>
      </c>
      <c r="M4" s="82" t="s">
        <v>554</v>
      </c>
      <c r="N4" s="82" t="s">
        <v>555</v>
      </c>
      <c r="O4" s="60" t="s">
        <v>556</v>
      </c>
      <c r="P4" s="60" t="s">
        <v>557</v>
      </c>
    </row>
    <row r="5" customFormat="false" ht="15" hidden="false" customHeight="false" outlineLevel="0" collapsed="false">
      <c r="A5" s="50" t="s">
        <v>182</v>
      </c>
      <c r="B5" s="50" t="s">
        <v>345</v>
      </c>
      <c r="C5" s="50" t="s">
        <v>216</v>
      </c>
      <c r="D5" s="50" t="s">
        <v>187</v>
      </c>
      <c r="E5" s="50" t="s">
        <v>188</v>
      </c>
      <c r="F5" s="50" t="s">
        <v>337</v>
      </c>
      <c r="G5" s="50" t="s">
        <v>558</v>
      </c>
      <c r="H5" s="50" t="s">
        <v>193</v>
      </c>
      <c r="I5" s="50" t="s">
        <v>198</v>
      </c>
      <c r="J5" s="50" t="s">
        <v>559</v>
      </c>
      <c r="K5" s="50" t="s">
        <v>199</v>
      </c>
      <c r="L5" s="50" t="s">
        <v>202</v>
      </c>
      <c r="M5" s="50" t="s">
        <v>350</v>
      </c>
      <c r="N5" s="50" t="s">
        <v>353</v>
      </c>
      <c r="O5" s="67" t="s">
        <v>560</v>
      </c>
      <c r="P5" s="67" t="s">
        <v>32</v>
      </c>
    </row>
    <row r="6" customFormat="false" ht="15" hidden="false" customHeight="false" outlineLevel="0" collapsed="false">
      <c r="A6" s="50" t="s">
        <v>264</v>
      </c>
      <c r="B6" s="50" t="s">
        <v>184</v>
      </c>
      <c r="C6" s="50" t="s">
        <v>297</v>
      </c>
      <c r="D6" s="50" t="s">
        <v>561</v>
      </c>
      <c r="E6" s="50" t="s">
        <v>562</v>
      </c>
      <c r="F6" s="50" t="s">
        <v>563</v>
      </c>
      <c r="G6" s="50" t="s">
        <v>189</v>
      </c>
      <c r="H6" s="50" t="s">
        <v>254</v>
      </c>
      <c r="I6" s="50" t="s">
        <v>194</v>
      </c>
      <c r="J6" s="50" t="s">
        <v>462</v>
      </c>
      <c r="K6" s="50" t="s">
        <v>564</v>
      </c>
      <c r="L6" s="50" t="s">
        <v>229</v>
      </c>
      <c r="M6" s="50" t="s">
        <v>203</v>
      </c>
      <c r="N6" s="50" t="s">
        <v>326</v>
      </c>
      <c r="O6" s="67" t="s">
        <v>565</v>
      </c>
      <c r="P6" s="67" t="s">
        <v>34</v>
      </c>
    </row>
    <row r="7" customFormat="false" ht="15" hidden="false" customHeight="false" outlineLevel="0" collapsed="false">
      <c r="A7" s="50" t="s">
        <v>399</v>
      </c>
      <c r="B7" s="50" t="s">
        <v>218</v>
      </c>
      <c r="C7" s="50" t="s">
        <v>329</v>
      </c>
      <c r="D7" s="50" t="s">
        <v>385</v>
      </c>
      <c r="E7" s="50" t="s">
        <v>221</v>
      </c>
      <c r="F7" s="50" t="s">
        <v>566</v>
      </c>
      <c r="G7" s="50" t="s">
        <v>567</v>
      </c>
      <c r="H7" s="50" t="s">
        <v>334</v>
      </c>
      <c r="I7" s="91"/>
      <c r="J7" s="50" t="s">
        <v>482</v>
      </c>
      <c r="K7" s="50" t="s">
        <v>568</v>
      </c>
      <c r="L7" s="50" t="s">
        <v>375</v>
      </c>
      <c r="M7" s="50" t="s">
        <v>230</v>
      </c>
      <c r="N7" s="50" t="s">
        <v>569</v>
      </c>
      <c r="O7" s="67" t="s">
        <v>570</v>
      </c>
      <c r="P7" s="67" t="s">
        <v>36</v>
      </c>
    </row>
    <row r="8" customFormat="false" ht="15" hidden="false" customHeight="false" outlineLevel="0" collapsed="false">
      <c r="A8" s="91"/>
      <c r="B8" s="50" t="s">
        <v>412</v>
      </c>
      <c r="C8" s="50" t="s">
        <v>180</v>
      </c>
      <c r="D8" s="50" t="s">
        <v>436</v>
      </c>
      <c r="E8" s="50" t="s">
        <v>571</v>
      </c>
      <c r="F8" s="50" t="s">
        <v>572</v>
      </c>
      <c r="G8" s="50" t="s">
        <v>303</v>
      </c>
      <c r="H8" s="91"/>
      <c r="I8" s="91"/>
      <c r="J8" s="50" t="s">
        <v>573</v>
      </c>
      <c r="K8" s="50" t="s">
        <v>574</v>
      </c>
      <c r="L8" s="50" t="s">
        <v>575</v>
      </c>
      <c r="M8" s="50" t="s">
        <v>287</v>
      </c>
      <c r="N8" s="50" t="s">
        <v>275</v>
      </c>
      <c r="O8" s="67" t="s">
        <v>576</v>
      </c>
      <c r="P8" s="67" t="s">
        <v>38</v>
      </c>
    </row>
    <row r="9" customFormat="false" ht="15" hidden="false" customHeight="false" outlineLevel="0" collapsed="false">
      <c r="A9" s="91"/>
      <c r="B9" s="50" t="s">
        <v>300</v>
      </c>
      <c r="C9" s="50" t="s">
        <v>477</v>
      </c>
      <c r="D9" s="50" t="s">
        <v>360</v>
      </c>
      <c r="E9" s="50" t="s">
        <v>577</v>
      </c>
      <c r="F9" s="50" t="s">
        <v>578</v>
      </c>
      <c r="G9" s="50" t="s">
        <v>222</v>
      </c>
      <c r="H9" s="91"/>
      <c r="I9" s="91"/>
      <c r="J9" s="50" t="s">
        <v>579</v>
      </c>
      <c r="K9" s="91"/>
      <c r="L9" s="50" t="s">
        <v>580</v>
      </c>
      <c r="M9" s="50" t="s">
        <v>581</v>
      </c>
      <c r="N9" s="91"/>
      <c r="O9" s="67" t="s">
        <v>582</v>
      </c>
      <c r="P9" s="92"/>
    </row>
    <row r="10" customFormat="false" ht="15" hidden="false" customHeight="false" outlineLevel="0" collapsed="false">
      <c r="A10" s="91"/>
      <c r="B10" s="50" t="s">
        <v>478</v>
      </c>
      <c r="C10" s="50" t="s">
        <v>344</v>
      </c>
      <c r="D10" s="50" t="s">
        <v>330</v>
      </c>
      <c r="E10" s="50" t="s">
        <v>386</v>
      </c>
      <c r="F10" s="50" t="s">
        <v>583</v>
      </c>
      <c r="G10" s="50" t="s">
        <v>584</v>
      </c>
      <c r="H10" s="91"/>
      <c r="I10" s="91"/>
      <c r="J10" s="50" t="s">
        <v>585</v>
      </c>
      <c r="K10" s="91"/>
      <c r="L10" s="91"/>
      <c r="M10" s="91"/>
      <c r="N10" s="91"/>
      <c r="O10" s="92"/>
      <c r="P10" s="92"/>
    </row>
    <row r="11" customFormat="false" ht="15" hidden="false" customHeight="false" outlineLevel="0" collapsed="false">
      <c r="A11" s="91"/>
      <c r="B11" s="50" t="s">
        <v>434</v>
      </c>
      <c r="C11" s="91"/>
      <c r="D11" s="50" t="s">
        <v>281</v>
      </c>
      <c r="E11" s="50" t="s">
        <v>331</v>
      </c>
      <c r="F11" s="50" t="s">
        <v>586</v>
      </c>
      <c r="G11" s="50" t="s">
        <v>190</v>
      </c>
      <c r="H11" s="91"/>
      <c r="I11" s="91"/>
      <c r="J11" s="50" t="s">
        <v>587</v>
      </c>
      <c r="K11" s="91"/>
      <c r="L11" s="91"/>
      <c r="M11" s="91"/>
      <c r="N11" s="91"/>
      <c r="O11" s="92"/>
      <c r="P11" s="92"/>
    </row>
    <row r="12" customFormat="false" ht="15" hidden="false" customHeight="false" outlineLevel="0" collapsed="false">
      <c r="A12" s="91"/>
      <c r="B12" s="50" t="s">
        <v>588</v>
      </c>
      <c r="C12" s="91"/>
      <c r="D12" s="50" t="s">
        <v>370</v>
      </c>
      <c r="E12" s="50" t="s">
        <v>437</v>
      </c>
      <c r="F12" s="50" t="s">
        <v>589</v>
      </c>
      <c r="G12" s="50" t="s">
        <v>240</v>
      </c>
      <c r="H12" s="91"/>
      <c r="I12" s="91"/>
      <c r="J12" s="50" t="s">
        <v>590</v>
      </c>
      <c r="K12" s="91"/>
      <c r="L12" s="91"/>
      <c r="M12" s="91"/>
      <c r="N12" s="91"/>
      <c r="O12" s="92"/>
      <c r="P12" s="92"/>
    </row>
    <row r="13" customFormat="false" ht="15" hidden="false" customHeight="false" outlineLevel="0" collapsed="false">
      <c r="A13" s="91"/>
      <c r="B13" s="91"/>
      <c r="C13" s="91"/>
      <c r="D13" s="50" t="s">
        <v>302</v>
      </c>
      <c r="E13" s="91"/>
      <c r="F13" s="50" t="s">
        <v>591</v>
      </c>
      <c r="G13" s="50" t="s">
        <v>241</v>
      </c>
      <c r="H13" s="91"/>
      <c r="I13" s="91"/>
      <c r="J13" s="50" t="s">
        <v>592</v>
      </c>
      <c r="K13" s="91"/>
      <c r="L13" s="91"/>
      <c r="M13" s="91"/>
      <c r="N13" s="91"/>
      <c r="O13" s="92"/>
      <c r="P13" s="92"/>
    </row>
    <row r="14" customFormat="false" ht="15" hidden="false" customHeight="false" outlineLevel="0" collapsed="false">
      <c r="A14" s="91"/>
      <c r="B14" s="91"/>
      <c r="C14" s="91"/>
      <c r="D14" s="91"/>
      <c r="E14" s="91"/>
      <c r="F14" s="50" t="s">
        <v>593</v>
      </c>
      <c r="G14" s="91"/>
      <c r="H14" s="91"/>
      <c r="I14" s="91"/>
      <c r="J14" s="50" t="s">
        <v>195</v>
      </c>
      <c r="K14" s="91"/>
      <c r="L14" s="91"/>
      <c r="M14" s="91"/>
      <c r="N14" s="91"/>
      <c r="O14" s="92"/>
      <c r="P14" s="92"/>
    </row>
    <row r="15" customFormat="false" ht="15" hidden="false" customHeight="false" outlineLevel="0" collapsed="false">
      <c r="A15" s="91"/>
      <c r="B15" s="91"/>
      <c r="C15" s="91"/>
      <c r="D15" s="91"/>
      <c r="E15" s="91"/>
      <c r="F15" s="50" t="s">
        <v>594</v>
      </c>
      <c r="G15" s="91"/>
      <c r="H15" s="91"/>
      <c r="I15" s="91"/>
      <c r="J15" s="91"/>
      <c r="K15" s="91"/>
      <c r="L15" s="91"/>
      <c r="M15" s="91"/>
      <c r="N15" s="91"/>
      <c r="O15" s="92"/>
      <c r="P15" s="92"/>
    </row>
    <row r="16" customFormat="false" ht="15" hidden="false" customHeight="false" outlineLevel="0" collapsed="false">
      <c r="A16" s="91"/>
      <c r="B16" s="91"/>
      <c r="C16" s="91"/>
      <c r="D16" s="91"/>
      <c r="E16" s="91"/>
      <c r="F16" s="50" t="s">
        <v>595</v>
      </c>
      <c r="G16" s="91"/>
      <c r="H16" s="91"/>
      <c r="I16" s="91"/>
      <c r="J16" s="91"/>
      <c r="K16" s="91"/>
      <c r="L16" s="91"/>
      <c r="M16" s="91"/>
      <c r="N16" s="91"/>
      <c r="O16" s="92"/>
      <c r="P16" s="92"/>
    </row>
    <row r="17" customFormat="false" ht="15" hidden="false" customHeight="false" outlineLevel="0" collapsed="false">
      <c r="A17" s="91"/>
      <c r="B17" s="91"/>
      <c r="C17" s="91"/>
      <c r="D17" s="91"/>
      <c r="E17" s="91"/>
      <c r="F17" s="91"/>
      <c r="G17" s="91"/>
      <c r="H17" s="91"/>
      <c r="I17" s="91"/>
      <c r="J17" s="91"/>
      <c r="K17" s="91"/>
      <c r="L17" s="91"/>
      <c r="M17" s="91"/>
      <c r="N17" s="91"/>
      <c r="O17" s="92"/>
      <c r="P17" s="92"/>
    </row>
    <row r="18" customFormat="false" ht="15" hidden="false" customHeight="false" outlineLevel="0" collapsed="false">
      <c r="A18" s="91"/>
      <c r="B18" s="91"/>
      <c r="C18" s="91"/>
      <c r="D18" s="91"/>
      <c r="E18" s="91"/>
      <c r="F18" s="91"/>
      <c r="G18" s="91"/>
      <c r="H18" s="91"/>
      <c r="I18" s="91"/>
      <c r="J18" s="91"/>
      <c r="K18" s="91"/>
      <c r="L18" s="91"/>
      <c r="M18" s="91"/>
      <c r="N18" s="91"/>
      <c r="O18" s="92"/>
      <c r="P18" s="92"/>
    </row>
    <row r="19" customFormat="false" ht="15" hidden="false" customHeight="false" outlineLevel="0" collapsed="false">
      <c r="A19" s="91"/>
      <c r="B19" s="91"/>
      <c r="C19" s="91"/>
      <c r="D19" s="91"/>
      <c r="E19" s="91"/>
      <c r="F19" s="91"/>
      <c r="G19" s="91"/>
      <c r="H19" s="91"/>
      <c r="I19" s="91"/>
      <c r="J19" s="91"/>
      <c r="K19" s="91"/>
      <c r="L19" s="91"/>
      <c r="M19" s="91"/>
      <c r="N19" s="91"/>
      <c r="O19" s="92"/>
      <c r="P19" s="92"/>
    </row>
    <row r="20" customFormat="false" ht="15" hidden="false" customHeight="false" outlineLevel="0" collapsed="false">
      <c r="A20" s="91"/>
      <c r="B20" s="91"/>
      <c r="C20" s="91"/>
      <c r="D20" s="91"/>
      <c r="E20" s="91"/>
      <c r="F20" s="91"/>
      <c r="G20" s="91"/>
      <c r="H20" s="91"/>
      <c r="I20" s="91"/>
      <c r="J20" s="91"/>
      <c r="K20" s="91"/>
      <c r="L20" s="91"/>
      <c r="M20" s="91"/>
      <c r="N20" s="91"/>
      <c r="O20" s="92"/>
      <c r="P20" s="92"/>
    </row>
    <row r="21" customFormat="false" ht="15" hidden="false" customHeight="false" outlineLevel="0" collapsed="false">
      <c r="A21" s="91"/>
      <c r="B21" s="91"/>
      <c r="C21" s="91"/>
      <c r="D21" s="91"/>
      <c r="E21" s="91"/>
      <c r="F21" s="91"/>
      <c r="G21" s="91"/>
      <c r="H21" s="91"/>
      <c r="I21" s="91"/>
      <c r="J21" s="91"/>
      <c r="K21" s="91"/>
      <c r="L21" s="91"/>
      <c r="M21" s="91"/>
      <c r="N21" s="91"/>
      <c r="O21" s="92"/>
      <c r="P21" s="92"/>
    </row>
    <row r="22" customFormat="false" ht="15" hidden="false" customHeight="false" outlineLevel="0" collapsed="false">
      <c r="A22" s="91"/>
      <c r="B22" s="91"/>
      <c r="C22" s="91"/>
      <c r="D22" s="91"/>
      <c r="E22" s="91"/>
      <c r="F22" s="91"/>
      <c r="G22" s="91"/>
      <c r="H22" s="91"/>
      <c r="I22" s="91"/>
      <c r="J22" s="91"/>
      <c r="K22" s="91"/>
      <c r="L22" s="91"/>
      <c r="M22" s="91"/>
      <c r="N22" s="91"/>
      <c r="O22" s="92"/>
      <c r="P22" s="92"/>
    </row>
    <row r="23" customFormat="false" ht="15" hidden="false" customHeight="false" outlineLevel="0" collapsed="false">
      <c r="A23" s="91"/>
      <c r="B23" s="91"/>
      <c r="C23" s="91"/>
      <c r="D23" s="91"/>
      <c r="E23" s="91"/>
      <c r="F23" s="91"/>
      <c r="G23" s="91"/>
      <c r="H23" s="91"/>
      <c r="I23" s="91"/>
      <c r="J23" s="91"/>
      <c r="K23" s="91"/>
      <c r="L23" s="91"/>
      <c r="M23" s="91"/>
      <c r="N23" s="91"/>
      <c r="O23" s="92"/>
      <c r="P23" s="92"/>
    </row>
    <row r="24" customFormat="false" ht="15" hidden="false" customHeight="false" outlineLevel="0" collapsed="false">
      <c r="A24" s="91"/>
      <c r="B24" s="91"/>
      <c r="C24" s="91"/>
      <c r="D24" s="91"/>
      <c r="E24" s="91"/>
      <c r="F24" s="91"/>
      <c r="G24" s="91"/>
      <c r="H24" s="91"/>
      <c r="I24" s="91"/>
      <c r="J24" s="91"/>
      <c r="K24" s="91"/>
      <c r="L24" s="91"/>
      <c r="M24" s="91"/>
      <c r="N24" s="91"/>
      <c r="O24" s="92"/>
      <c r="P24" s="92"/>
    </row>
    <row r="25" customFormat="false" ht="15" hidden="false" customHeight="false" outlineLevel="0" collapsed="false">
      <c r="A25" s="91"/>
      <c r="B25" s="91"/>
      <c r="C25" s="91"/>
      <c r="D25" s="91"/>
      <c r="E25" s="91"/>
      <c r="F25" s="91"/>
      <c r="G25" s="91"/>
      <c r="H25" s="91"/>
      <c r="I25" s="91"/>
      <c r="J25" s="91"/>
      <c r="K25" s="91"/>
      <c r="L25" s="91"/>
      <c r="M25" s="91"/>
      <c r="N25" s="91"/>
      <c r="O25" s="92"/>
      <c r="P25" s="92"/>
    </row>
    <row r="26" customFormat="false" ht="15" hidden="false" customHeight="false" outlineLevel="0" collapsed="false">
      <c r="A26" s="91"/>
      <c r="B26" s="91"/>
      <c r="C26" s="91"/>
      <c r="D26" s="91"/>
      <c r="E26" s="91"/>
      <c r="F26" s="91"/>
      <c r="G26" s="91"/>
      <c r="H26" s="91"/>
      <c r="I26" s="91"/>
      <c r="J26" s="91"/>
      <c r="K26" s="91"/>
      <c r="L26" s="91"/>
      <c r="M26" s="91"/>
      <c r="N26" s="91"/>
      <c r="O26" s="92"/>
      <c r="P26" s="92"/>
    </row>
    <row r="27" customFormat="false" ht="15" hidden="false" customHeight="false" outlineLevel="0" collapsed="false">
      <c r="A27" s="91"/>
      <c r="B27" s="91"/>
      <c r="C27" s="91"/>
      <c r="D27" s="91"/>
      <c r="E27" s="91"/>
      <c r="F27" s="91"/>
      <c r="G27" s="91"/>
      <c r="H27" s="91"/>
      <c r="I27" s="91"/>
      <c r="J27" s="91"/>
      <c r="K27" s="91"/>
      <c r="L27" s="91"/>
      <c r="M27" s="91"/>
      <c r="N27" s="91"/>
      <c r="O27" s="92"/>
      <c r="P27" s="92"/>
    </row>
    <row r="28" customFormat="false" ht="15" hidden="false" customHeight="false" outlineLevel="0" collapsed="false">
      <c r="A28" s="91"/>
      <c r="B28" s="91"/>
      <c r="C28" s="91"/>
      <c r="D28" s="91"/>
      <c r="E28" s="91"/>
      <c r="F28" s="91"/>
      <c r="G28" s="91"/>
      <c r="H28" s="91"/>
      <c r="I28" s="91"/>
      <c r="J28" s="91"/>
      <c r="K28" s="91"/>
      <c r="L28" s="91"/>
      <c r="M28" s="91"/>
      <c r="N28" s="91"/>
      <c r="O28" s="92"/>
      <c r="P28" s="92"/>
    </row>
    <row r="29" customFormat="false" ht="15" hidden="false" customHeight="false" outlineLevel="0" collapsed="false">
      <c r="A29" s="91"/>
      <c r="B29" s="91"/>
      <c r="C29" s="91"/>
      <c r="D29" s="91"/>
      <c r="E29" s="91"/>
      <c r="F29" s="91"/>
      <c r="G29" s="91"/>
      <c r="H29" s="91"/>
      <c r="I29" s="91"/>
      <c r="J29" s="91"/>
      <c r="K29" s="91"/>
      <c r="L29" s="91"/>
      <c r="M29" s="91"/>
      <c r="N29" s="91"/>
      <c r="O29" s="92"/>
      <c r="P29" s="92"/>
    </row>
    <row r="30" customFormat="false" ht="15" hidden="false" customHeight="false" outlineLevel="0" collapsed="false">
      <c r="A30" s="91"/>
      <c r="B30" s="91"/>
      <c r="C30" s="91"/>
      <c r="D30" s="91"/>
      <c r="E30" s="91"/>
      <c r="F30" s="91"/>
      <c r="G30" s="91"/>
      <c r="H30" s="91"/>
      <c r="I30" s="91"/>
      <c r="J30" s="91"/>
      <c r="K30" s="91"/>
      <c r="L30" s="91"/>
      <c r="M30" s="91"/>
      <c r="N30" s="91"/>
      <c r="O30" s="92"/>
      <c r="P30" s="92"/>
    </row>
    <row r="31" customFormat="false" ht="15" hidden="false" customHeight="false" outlineLevel="0" collapsed="false">
      <c r="A31" s="91"/>
      <c r="B31" s="91"/>
      <c r="C31" s="91"/>
      <c r="D31" s="91"/>
      <c r="E31" s="91"/>
      <c r="F31" s="91"/>
      <c r="G31" s="91"/>
      <c r="H31" s="91"/>
      <c r="I31" s="91"/>
      <c r="J31" s="91"/>
      <c r="K31" s="91"/>
      <c r="L31" s="91"/>
      <c r="M31" s="91"/>
      <c r="N31" s="91"/>
      <c r="O31" s="92"/>
      <c r="P31" s="92"/>
    </row>
    <row r="32" customFormat="false" ht="15" hidden="false" customHeight="false" outlineLevel="0" collapsed="false">
      <c r="A32" s="91"/>
      <c r="B32" s="91"/>
      <c r="C32" s="91"/>
      <c r="D32" s="91"/>
      <c r="E32" s="91"/>
      <c r="F32" s="91"/>
      <c r="G32" s="91"/>
      <c r="H32" s="91"/>
      <c r="I32" s="91"/>
      <c r="J32" s="91"/>
      <c r="K32" s="91"/>
      <c r="L32" s="91"/>
      <c r="M32" s="91"/>
      <c r="N32" s="91"/>
      <c r="O32" s="92"/>
      <c r="P32" s="92"/>
    </row>
    <row r="33" customFormat="false" ht="15" hidden="false" customHeight="false" outlineLevel="0" collapsed="false">
      <c r="A33" s="91"/>
      <c r="B33" s="91"/>
      <c r="C33" s="91"/>
      <c r="D33" s="91"/>
      <c r="E33" s="91"/>
      <c r="F33" s="91"/>
      <c r="G33" s="91"/>
      <c r="H33" s="91"/>
      <c r="I33" s="91"/>
      <c r="J33" s="91"/>
      <c r="K33" s="91"/>
      <c r="L33" s="91"/>
      <c r="M33" s="91"/>
      <c r="N33" s="91"/>
      <c r="O33" s="92"/>
      <c r="P33" s="92"/>
    </row>
    <row r="34" customFormat="false" ht="15" hidden="false" customHeight="false" outlineLevel="0" collapsed="false">
      <c r="A34" s="91"/>
      <c r="B34" s="91"/>
      <c r="C34" s="91"/>
      <c r="D34" s="91"/>
      <c r="E34" s="91"/>
      <c r="F34" s="91"/>
      <c r="G34" s="91"/>
      <c r="H34" s="91"/>
      <c r="I34" s="91"/>
      <c r="J34" s="91"/>
      <c r="K34" s="91"/>
      <c r="L34" s="91"/>
      <c r="M34" s="91"/>
      <c r="N34" s="91"/>
      <c r="O34" s="92"/>
      <c r="P34" s="92"/>
    </row>
    <row r="35" customFormat="false" ht="15" hidden="false" customHeight="false" outlineLevel="0" collapsed="false">
      <c r="A35" s="91"/>
      <c r="B35" s="91"/>
      <c r="C35" s="91"/>
      <c r="D35" s="91"/>
      <c r="E35" s="91"/>
      <c r="F35" s="91"/>
      <c r="G35" s="91"/>
      <c r="H35" s="91"/>
      <c r="I35" s="91"/>
      <c r="J35" s="91"/>
      <c r="K35" s="91"/>
      <c r="L35" s="91"/>
      <c r="M35" s="91"/>
      <c r="N35" s="91"/>
      <c r="O35" s="92"/>
      <c r="P35" s="92"/>
    </row>
    <row r="36" customFormat="false" ht="15" hidden="false" customHeight="false" outlineLevel="0" collapsed="false">
      <c r="A36" s="91"/>
      <c r="B36" s="91"/>
      <c r="C36" s="91"/>
      <c r="D36" s="91"/>
      <c r="E36" s="91"/>
      <c r="F36" s="91"/>
      <c r="G36" s="91"/>
      <c r="H36" s="91"/>
      <c r="I36" s="91"/>
      <c r="J36" s="91"/>
      <c r="K36" s="91"/>
      <c r="L36" s="91"/>
      <c r="M36" s="91"/>
      <c r="N36" s="91"/>
      <c r="O36" s="92"/>
      <c r="P36" s="92"/>
    </row>
    <row r="37" customFormat="false" ht="15" hidden="false" customHeight="false" outlineLevel="0" collapsed="false">
      <c r="A37" s="91"/>
      <c r="B37" s="91"/>
      <c r="C37" s="91"/>
      <c r="D37" s="91"/>
      <c r="E37" s="91"/>
      <c r="F37" s="91"/>
      <c r="G37" s="91"/>
      <c r="H37" s="91"/>
      <c r="I37" s="91"/>
      <c r="J37" s="91"/>
      <c r="K37" s="91"/>
      <c r="L37" s="91"/>
      <c r="M37" s="91"/>
      <c r="N37" s="91"/>
      <c r="O37" s="92"/>
      <c r="P37" s="92"/>
    </row>
    <row r="38" customFormat="false" ht="15" hidden="false" customHeight="false" outlineLevel="0" collapsed="false">
      <c r="A38" s="91"/>
      <c r="B38" s="91"/>
      <c r="C38" s="91"/>
      <c r="D38" s="91"/>
      <c r="E38" s="91"/>
      <c r="F38" s="91"/>
      <c r="G38" s="91"/>
      <c r="H38" s="91"/>
      <c r="I38" s="91"/>
      <c r="J38" s="91"/>
      <c r="K38" s="91"/>
      <c r="L38" s="91"/>
      <c r="M38" s="91"/>
      <c r="N38" s="91"/>
      <c r="O38" s="92"/>
      <c r="P38" s="92"/>
    </row>
    <row r="39" customFormat="false" ht="15" hidden="false" customHeight="false" outlineLevel="0" collapsed="false">
      <c r="A39" s="91"/>
      <c r="B39" s="91"/>
      <c r="C39" s="91"/>
      <c r="D39" s="91"/>
      <c r="E39" s="91"/>
      <c r="F39" s="91"/>
      <c r="G39" s="91"/>
      <c r="H39" s="91"/>
      <c r="I39" s="91"/>
      <c r="J39" s="91"/>
      <c r="K39" s="91"/>
      <c r="L39" s="91"/>
      <c r="M39" s="91"/>
      <c r="N39" s="91"/>
      <c r="O39" s="92"/>
      <c r="P39" s="92"/>
    </row>
    <row r="40" customFormat="false" ht="15" hidden="false" customHeight="false" outlineLevel="0" collapsed="false">
      <c r="A40" s="91"/>
      <c r="B40" s="91"/>
      <c r="C40" s="91"/>
      <c r="D40" s="91"/>
      <c r="E40" s="91"/>
      <c r="F40" s="91"/>
      <c r="G40" s="91"/>
      <c r="H40" s="91"/>
      <c r="I40" s="91"/>
      <c r="J40" s="91"/>
      <c r="K40" s="91"/>
      <c r="L40" s="91"/>
      <c r="M40" s="91"/>
      <c r="N40" s="91"/>
      <c r="O40" s="92"/>
      <c r="P40" s="92"/>
    </row>
    <row r="41" customFormat="false" ht="15" hidden="false" customHeight="false" outlineLevel="0" collapsed="false">
      <c r="A41" s="91"/>
      <c r="B41" s="91"/>
      <c r="C41" s="91"/>
      <c r="D41" s="91"/>
      <c r="E41" s="91"/>
      <c r="F41" s="91"/>
      <c r="G41" s="91"/>
      <c r="H41" s="91"/>
      <c r="I41" s="91"/>
      <c r="J41" s="91"/>
      <c r="K41" s="91"/>
      <c r="L41" s="91"/>
      <c r="M41" s="91"/>
      <c r="N41" s="91"/>
      <c r="O41" s="92"/>
      <c r="P41" s="92"/>
    </row>
    <row r="42" customFormat="false" ht="15" hidden="false" customHeight="false" outlineLevel="0" collapsed="false">
      <c r="A42" s="91"/>
      <c r="B42" s="91"/>
      <c r="C42" s="91"/>
      <c r="D42" s="91"/>
      <c r="E42" s="91"/>
      <c r="F42" s="91"/>
      <c r="G42" s="91"/>
      <c r="H42" s="91"/>
      <c r="I42" s="91"/>
      <c r="J42" s="91"/>
      <c r="K42" s="91"/>
      <c r="L42" s="91"/>
      <c r="M42" s="91"/>
      <c r="N42" s="91"/>
      <c r="O42" s="92"/>
      <c r="P42" s="92"/>
    </row>
    <row r="43" customFormat="false" ht="15" hidden="false" customHeight="false" outlineLevel="0" collapsed="false">
      <c r="A43" s="91"/>
      <c r="B43" s="91"/>
      <c r="C43" s="91"/>
      <c r="D43" s="91"/>
      <c r="E43" s="91"/>
      <c r="F43" s="91"/>
      <c r="G43" s="91"/>
      <c r="H43" s="91"/>
      <c r="I43" s="91"/>
      <c r="J43" s="91"/>
      <c r="K43" s="91"/>
      <c r="L43" s="91"/>
      <c r="M43" s="91"/>
      <c r="N43" s="91"/>
      <c r="O43" s="92"/>
      <c r="P43" s="92"/>
    </row>
    <row r="44" customFormat="false" ht="15" hidden="false" customHeight="false" outlineLevel="0" collapsed="false">
      <c r="A44" s="91"/>
      <c r="B44" s="91"/>
      <c r="C44" s="91"/>
      <c r="D44" s="91"/>
      <c r="E44" s="91"/>
      <c r="F44" s="91"/>
      <c r="G44" s="91"/>
      <c r="H44" s="91"/>
      <c r="I44" s="91"/>
      <c r="J44" s="91"/>
      <c r="K44" s="91"/>
      <c r="L44" s="91"/>
      <c r="M44" s="91"/>
      <c r="N44" s="91"/>
      <c r="O44" s="92"/>
      <c r="P44" s="92"/>
    </row>
    <row r="45" customFormat="false" ht="15" hidden="false" customHeight="false" outlineLevel="0" collapsed="false">
      <c r="A45" s="91"/>
      <c r="B45" s="91"/>
      <c r="C45" s="91"/>
      <c r="D45" s="91"/>
      <c r="E45" s="91"/>
      <c r="F45" s="91"/>
      <c r="G45" s="91"/>
      <c r="H45" s="91"/>
      <c r="I45" s="91"/>
      <c r="J45" s="91"/>
      <c r="K45" s="91"/>
      <c r="L45" s="91"/>
      <c r="M45" s="91"/>
      <c r="N45" s="91"/>
      <c r="O45" s="92"/>
      <c r="P45" s="92"/>
    </row>
    <row r="46" customFormat="false" ht="15" hidden="false" customHeight="false" outlineLevel="0" collapsed="false">
      <c r="A46" s="91"/>
      <c r="B46" s="91"/>
      <c r="C46" s="91"/>
      <c r="D46" s="91"/>
      <c r="E46" s="91"/>
      <c r="F46" s="91"/>
      <c r="G46" s="91"/>
      <c r="H46" s="91"/>
      <c r="I46" s="91"/>
      <c r="J46" s="91"/>
      <c r="K46" s="91"/>
      <c r="L46" s="91"/>
      <c r="M46" s="91"/>
      <c r="N46" s="91"/>
      <c r="O46" s="92"/>
      <c r="P46" s="92"/>
    </row>
    <row r="47" customFormat="false" ht="15" hidden="false" customHeight="false" outlineLevel="0" collapsed="false">
      <c r="A47" s="91"/>
      <c r="B47" s="91"/>
      <c r="C47" s="91"/>
      <c r="D47" s="91"/>
      <c r="E47" s="91"/>
      <c r="F47" s="91"/>
      <c r="G47" s="91"/>
      <c r="H47" s="91"/>
      <c r="I47" s="91"/>
      <c r="J47" s="91"/>
      <c r="K47" s="91"/>
      <c r="L47" s="91"/>
      <c r="M47" s="91"/>
      <c r="N47" s="91"/>
      <c r="O47" s="92"/>
      <c r="P47" s="92"/>
    </row>
    <row r="48" customFormat="false" ht="15" hidden="false" customHeight="false" outlineLevel="0" collapsed="false">
      <c r="A48" s="91"/>
      <c r="B48" s="91"/>
      <c r="C48" s="91"/>
      <c r="D48" s="91"/>
      <c r="E48" s="91"/>
      <c r="F48" s="91"/>
      <c r="G48" s="91"/>
      <c r="H48" s="91"/>
      <c r="I48" s="91"/>
      <c r="J48" s="91"/>
      <c r="K48" s="91"/>
      <c r="L48" s="91"/>
      <c r="M48" s="91"/>
      <c r="N48" s="91"/>
      <c r="O48" s="92"/>
      <c r="P48" s="92"/>
    </row>
    <row r="49" customFormat="false" ht="15" hidden="false" customHeight="false" outlineLevel="0" collapsed="false">
      <c r="A49" s="91"/>
      <c r="B49" s="91"/>
      <c r="C49" s="91"/>
      <c r="D49" s="91"/>
      <c r="E49" s="91"/>
      <c r="F49" s="91"/>
      <c r="G49" s="91"/>
      <c r="H49" s="91"/>
      <c r="I49" s="91"/>
      <c r="J49" s="91"/>
      <c r="K49" s="91"/>
      <c r="L49" s="91"/>
      <c r="M49" s="91"/>
      <c r="N49" s="91"/>
      <c r="O49" s="92"/>
      <c r="P49" s="92"/>
    </row>
    <row r="50" customFormat="false" ht="15" hidden="false" customHeight="false" outlineLevel="0" collapsed="false">
      <c r="A50" s="91"/>
      <c r="B50" s="91"/>
      <c r="C50" s="91"/>
      <c r="D50" s="91"/>
      <c r="E50" s="91"/>
      <c r="F50" s="91"/>
      <c r="G50" s="91"/>
      <c r="H50" s="91"/>
      <c r="I50" s="91"/>
      <c r="J50" s="91"/>
      <c r="K50" s="91"/>
      <c r="L50" s="91"/>
      <c r="M50" s="91"/>
      <c r="N50" s="91"/>
      <c r="O50" s="92"/>
      <c r="P50" s="92"/>
    </row>
    <row r="51" customFormat="false" ht="15" hidden="false" customHeight="false" outlineLevel="0" collapsed="false">
      <c r="A51" s="91"/>
      <c r="B51" s="91"/>
      <c r="C51" s="91"/>
      <c r="D51" s="91"/>
      <c r="E51" s="91"/>
      <c r="F51" s="91"/>
      <c r="G51" s="91"/>
      <c r="H51" s="91"/>
      <c r="I51" s="91"/>
      <c r="J51" s="91"/>
      <c r="K51" s="91"/>
      <c r="L51" s="91"/>
      <c r="M51" s="91"/>
      <c r="N51" s="91"/>
      <c r="O51" s="92"/>
      <c r="P51" s="92"/>
    </row>
    <row r="52" customFormat="false" ht="15" hidden="false" customHeight="false" outlineLevel="0" collapsed="false">
      <c r="A52" s="91"/>
      <c r="B52" s="91"/>
      <c r="C52" s="91"/>
      <c r="D52" s="91"/>
      <c r="E52" s="91"/>
      <c r="F52" s="91"/>
      <c r="G52" s="91"/>
      <c r="H52" s="91"/>
      <c r="I52" s="91"/>
      <c r="J52" s="91"/>
      <c r="K52" s="91"/>
      <c r="L52" s="91"/>
      <c r="M52" s="91"/>
      <c r="N52" s="91"/>
      <c r="O52" s="92"/>
      <c r="P52" s="92"/>
    </row>
    <row r="53" customFormat="false" ht="15" hidden="false" customHeight="false" outlineLevel="0" collapsed="false">
      <c r="A53" s="91"/>
      <c r="B53" s="91"/>
      <c r="C53" s="91"/>
      <c r="D53" s="91"/>
      <c r="E53" s="91"/>
      <c r="F53" s="91"/>
      <c r="G53" s="91"/>
      <c r="H53" s="91"/>
      <c r="I53" s="91"/>
      <c r="J53" s="91"/>
      <c r="K53" s="91"/>
      <c r="L53" s="91"/>
      <c r="M53" s="91"/>
      <c r="N53" s="91"/>
      <c r="O53" s="92"/>
      <c r="P53" s="92"/>
    </row>
    <row r="54" customFormat="false" ht="15" hidden="false" customHeight="false" outlineLevel="0" collapsed="false">
      <c r="A54" s="91"/>
      <c r="B54" s="91"/>
      <c r="C54" s="91"/>
      <c r="D54" s="91"/>
      <c r="E54" s="91"/>
      <c r="F54" s="91"/>
      <c r="G54" s="91"/>
      <c r="H54" s="91"/>
      <c r="I54" s="91"/>
      <c r="J54" s="91"/>
      <c r="K54" s="91"/>
      <c r="L54" s="91"/>
      <c r="M54" s="91"/>
      <c r="N54" s="91"/>
      <c r="O54" s="92"/>
      <c r="P54" s="92"/>
    </row>
    <row r="55" customFormat="false" ht="15" hidden="false" customHeight="false" outlineLevel="0" collapsed="false">
      <c r="A55" s="91"/>
      <c r="B55" s="91"/>
      <c r="C55" s="91"/>
      <c r="D55" s="91"/>
      <c r="E55" s="91"/>
      <c r="F55" s="91"/>
      <c r="G55" s="91"/>
      <c r="H55" s="91"/>
      <c r="I55" s="91"/>
      <c r="J55" s="91"/>
      <c r="K55" s="91"/>
      <c r="L55" s="91"/>
      <c r="M55" s="91"/>
      <c r="N55" s="91"/>
      <c r="O55" s="92"/>
      <c r="P55" s="92"/>
    </row>
    <row r="56" customFormat="false" ht="15" hidden="false" customHeight="false" outlineLevel="0" collapsed="false">
      <c r="A56" s="91"/>
      <c r="B56" s="91"/>
      <c r="C56" s="91"/>
      <c r="D56" s="91"/>
      <c r="E56" s="91"/>
      <c r="F56" s="91"/>
      <c r="G56" s="91"/>
      <c r="H56" s="91"/>
      <c r="I56" s="91"/>
      <c r="J56" s="91"/>
      <c r="K56" s="91"/>
      <c r="L56" s="91"/>
      <c r="M56" s="91"/>
      <c r="N56" s="91"/>
      <c r="O56" s="92"/>
      <c r="P56" s="92"/>
    </row>
    <row r="57" customFormat="false" ht="15" hidden="false" customHeight="false" outlineLevel="0" collapsed="false">
      <c r="A57" s="91"/>
      <c r="B57" s="91"/>
      <c r="C57" s="91"/>
      <c r="D57" s="91"/>
      <c r="E57" s="91"/>
      <c r="F57" s="91"/>
      <c r="G57" s="91"/>
      <c r="H57" s="91"/>
      <c r="I57" s="91"/>
      <c r="J57" s="91"/>
      <c r="K57" s="91"/>
      <c r="L57" s="91"/>
      <c r="M57" s="91"/>
      <c r="N57" s="91"/>
      <c r="O57" s="92"/>
      <c r="P57" s="92"/>
    </row>
    <row r="58" customFormat="false" ht="15" hidden="false" customHeight="false" outlineLevel="0" collapsed="false">
      <c r="A58" s="91"/>
      <c r="B58" s="91"/>
      <c r="C58" s="91"/>
      <c r="D58" s="91"/>
      <c r="E58" s="91"/>
      <c r="F58" s="91"/>
      <c r="G58" s="91"/>
      <c r="H58" s="91"/>
      <c r="I58" s="91"/>
      <c r="J58" s="91"/>
      <c r="K58" s="91"/>
      <c r="L58" s="91"/>
      <c r="M58" s="91"/>
      <c r="N58" s="91"/>
      <c r="O58" s="92"/>
      <c r="P58" s="92"/>
    </row>
    <row r="59" customFormat="false" ht="15" hidden="false" customHeight="false" outlineLevel="0" collapsed="false">
      <c r="A59" s="91"/>
      <c r="B59" s="91"/>
      <c r="C59" s="91"/>
      <c r="D59" s="91"/>
      <c r="E59" s="91"/>
      <c r="F59" s="91"/>
      <c r="G59" s="91"/>
      <c r="H59" s="91"/>
      <c r="I59" s="91"/>
      <c r="J59" s="91"/>
      <c r="K59" s="91"/>
      <c r="L59" s="91"/>
      <c r="M59" s="91"/>
      <c r="N59" s="91"/>
      <c r="O59" s="92"/>
      <c r="P59" s="92"/>
    </row>
    <row r="60" customFormat="false" ht="15" hidden="false" customHeight="false" outlineLevel="0" collapsed="false">
      <c r="A60" s="91"/>
      <c r="B60" s="91"/>
      <c r="C60" s="91"/>
      <c r="D60" s="91"/>
      <c r="E60" s="91"/>
      <c r="F60" s="91"/>
      <c r="G60" s="91"/>
      <c r="H60" s="91"/>
      <c r="I60" s="91"/>
      <c r="J60" s="91"/>
      <c r="K60" s="91"/>
      <c r="L60" s="91"/>
      <c r="M60" s="91"/>
      <c r="N60" s="91"/>
      <c r="O60" s="92"/>
      <c r="P60" s="92"/>
    </row>
    <row r="61" customFormat="false" ht="15" hidden="false" customHeight="false" outlineLevel="0" collapsed="false">
      <c r="A61" s="91"/>
      <c r="B61" s="91"/>
      <c r="C61" s="91"/>
      <c r="D61" s="91"/>
      <c r="E61" s="91"/>
      <c r="F61" s="91"/>
      <c r="G61" s="91"/>
      <c r="H61" s="91"/>
      <c r="I61" s="91"/>
      <c r="J61" s="91"/>
      <c r="K61" s="91"/>
      <c r="L61" s="91"/>
      <c r="M61" s="91"/>
      <c r="N61" s="91"/>
      <c r="O61" s="92"/>
      <c r="P61" s="92"/>
    </row>
    <row r="62" customFormat="false" ht="15" hidden="false" customHeight="false" outlineLevel="0" collapsed="false">
      <c r="A62" s="91"/>
      <c r="B62" s="91"/>
      <c r="C62" s="91"/>
      <c r="D62" s="91"/>
      <c r="E62" s="91"/>
      <c r="F62" s="91"/>
      <c r="G62" s="91"/>
      <c r="H62" s="91"/>
      <c r="I62" s="91"/>
      <c r="J62" s="91"/>
      <c r="K62" s="91"/>
      <c r="L62" s="91"/>
      <c r="M62" s="91"/>
      <c r="N62" s="91"/>
      <c r="O62" s="92"/>
      <c r="P62" s="92"/>
    </row>
    <row r="63" customFormat="false" ht="15" hidden="false" customHeight="false" outlineLevel="0" collapsed="false">
      <c r="A63" s="91"/>
      <c r="B63" s="91"/>
      <c r="C63" s="91"/>
      <c r="D63" s="91"/>
      <c r="E63" s="91"/>
      <c r="F63" s="91"/>
      <c r="G63" s="91"/>
      <c r="H63" s="91"/>
      <c r="I63" s="91"/>
      <c r="J63" s="91"/>
      <c r="K63" s="91"/>
      <c r="L63" s="91"/>
      <c r="M63" s="91"/>
      <c r="N63" s="91"/>
      <c r="O63" s="92"/>
      <c r="P63" s="92"/>
    </row>
    <row r="64" customFormat="false" ht="15" hidden="false" customHeight="false" outlineLevel="0" collapsed="false">
      <c r="A64" s="91"/>
      <c r="B64" s="91"/>
      <c r="C64" s="91"/>
      <c r="D64" s="91"/>
      <c r="E64" s="91"/>
      <c r="F64" s="91"/>
      <c r="G64" s="91"/>
      <c r="H64" s="91"/>
      <c r="I64" s="91"/>
      <c r="J64" s="91"/>
      <c r="K64" s="91"/>
      <c r="L64" s="91"/>
      <c r="M64" s="91"/>
      <c r="N64" s="91"/>
      <c r="O64" s="92"/>
      <c r="P64" s="92"/>
    </row>
  </sheetData>
  <sheetProtection sheet="true" password="df18" formatCells="false" formatColumns="false" formatRows="false" insertRows="false" deleteRows="false" sort="false" autoFilter="false"/>
  <mergeCells count="3">
    <mergeCell ref="A1:P1"/>
    <mergeCell ref="A2:P2"/>
    <mergeCell ref="A3:P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6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78"/>
    <col collapsed="false" customWidth="true" hidden="false" outlineLevel="0" max="3" min="3" style="0" width="26"/>
    <col collapsed="false" customWidth="true" hidden="false" outlineLevel="0" max="4" min="4" style="0" width="11"/>
    <col collapsed="false" customWidth="true" hidden="false" outlineLevel="0" max="5" min="5" style="0" width="2"/>
    <col collapsed="false" customWidth="true" hidden="false" outlineLevel="0" max="6" min="6" style="0" width="16"/>
    <col collapsed="false" customWidth="true" hidden="false" outlineLevel="0" max="7" min="7" style="0" width="100"/>
  </cols>
  <sheetData>
    <row r="1" customFormat="false" ht="25.5" hidden="false" customHeight="true" outlineLevel="0" collapsed="false">
      <c r="A1" s="90" t="s">
        <v>596</v>
      </c>
      <c r="B1" s="90"/>
      <c r="C1" s="90"/>
      <c r="D1" s="90"/>
      <c r="E1" s="90"/>
      <c r="F1" s="90"/>
      <c r="G1" s="90"/>
    </row>
    <row r="2" customFormat="false" ht="15" hidden="false" customHeight="true" outlineLevel="0" collapsed="false">
      <c r="A2" s="5" t="s">
        <v>597</v>
      </c>
      <c r="B2" s="5"/>
      <c r="C2" s="5"/>
      <c r="D2" s="5"/>
      <c r="E2" s="5"/>
      <c r="F2" s="5"/>
      <c r="G2" s="5"/>
    </row>
    <row r="4" customFormat="false" ht="15" hidden="false" customHeight="false" outlineLevel="0" collapsed="false">
      <c r="A4" s="75" t="s">
        <v>598</v>
      </c>
      <c r="B4" s="75" t="s">
        <v>599</v>
      </c>
      <c r="C4" s="75" t="s">
        <v>600</v>
      </c>
      <c r="D4" s="75" t="s">
        <v>601</v>
      </c>
      <c r="F4" s="93" t="s">
        <v>602</v>
      </c>
      <c r="G4" s="93" t="s">
        <v>599</v>
      </c>
    </row>
    <row r="5" customFormat="false" ht="15" hidden="false" customHeight="false" outlineLevel="0" collapsed="false">
      <c r="A5" s="94" t="s">
        <v>603</v>
      </c>
      <c r="B5" s="67" t="s">
        <v>604</v>
      </c>
      <c r="C5" s="67" t="s">
        <v>605</v>
      </c>
      <c r="D5" s="83" t="s">
        <v>606</v>
      </c>
      <c r="F5" s="94" t="s">
        <v>607</v>
      </c>
      <c r="G5" s="67" t="s">
        <v>608</v>
      </c>
    </row>
    <row r="6" customFormat="false" ht="15" hidden="false" customHeight="false" outlineLevel="0" collapsed="false">
      <c r="A6" s="94" t="s">
        <v>609</v>
      </c>
      <c r="B6" s="67" t="s">
        <v>610</v>
      </c>
      <c r="C6" s="67" t="s">
        <v>605</v>
      </c>
      <c r="D6" s="83" t="s">
        <v>606</v>
      </c>
      <c r="F6" s="94" t="s">
        <v>333</v>
      </c>
      <c r="G6" s="67" t="s">
        <v>611</v>
      </c>
    </row>
    <row r="7" customFormat="false" ht="15" hidden="false" customHeight="false" outlineLevel="0" collapsed="false">
      <c r="A7" s="94" t="s">
        <v>612</v>
      </c>
      <c r="B7" s="67" t="s">
        <v>613</v>
      </c>
      <c r="C7" s="67" t="s">
        <v>605</v>
      </c>
      <c r="D7" s="83" t="s">
        <v>606</v>
      </c>
      <c r="F7" s="94" t="s">
        <v>614</v>
      </c>
      <c r="G7" s="67" t="s">
        <v>615</v>
      </c>
    </row>
    <row r="8" customFormat="false" ht="15" hidden="false" customHeight="false" outlineLevel="0" collapsed="false">
      <c r="A8" s="94" t="s">
        <v>616</v>
      </c>
      <c r="B8" s="67" t="s">
        <v>617</v>
      </c>
      <c r="C8" s="67" t="s">
        <v>605</v>
      </c>
      <c r="D8" s="83" t="s">
        <v>606</v>
      </c>
      <c r="F8" s="94" t="s">
        <v>618</v>
      </c>
      <c r="G8" s="67" t="s">
        <v>619</v>
      </c>
    </row>
    <row r="9" customFormat="false" ht="15" hidden="false" customHeight="false" outlineLevel="0" collapsed="false">
      <c r="A9" s="94" t="s">
        <v>620</v>
      </c>
      <c r="B9" s="67" t="s">
        <v>621</v>
      </c>
      <c r="C9" s="67" t="s">
        <v>605</v>
      </c>
      <c r="D9" s="83" t="s">
        <v>606</v>
      </c>
      <c r="F9" s="94" t="s">
        <v>622</v>
      </c>
      <c r="G9" s="67" t="s">
        <v>623</v>
      </c>
    </row>
    <row r="10" customFormat="false" ht="15" hidden="false" customHeight="false" outlineLevel="0" collapsed="false">
      <c r="A10" s="94" t="s">
        <v>624</v>
      </c>
      <c r="B10" s="67" t="s">
        <v>625</v>
      </c>
      <c r="C10" s="67" t="s">
        <v>605</v>
      </c>
      <c r="D10" s="83" t="s">
        <v>606</v>
      </c>
      <c r="F10" s="94" t="s">
        <v>626</v>
      </c>
      <c r="G10" s="67" t="s">
        <v>627</v>
      </c>
    </row>
    <row r="11" customFormat="false" ht="15" hidden="false" customHeight="false" outlineLevel="0" collapsed="false">
      <c r="A11" s="94" t="s">
        <v>628</v>
      </c>
      <c r="B11" s="67" t="s">
        <v>629</v>
      </c>
      <c r="C11" s="67" t="s">
        <v>605</v>
      </c>
      <c r="D11" s="83" t="s">
        <v>606</v>
      </c>
      <c r="F11" s="94" t="s">
        <v>630</v>
      </c>
      <c r="G11" s="67" t="s">
        <v>631</v>
      </c>
    </row>
    <row r="12" customFormat="false" ht="15" hidden="false" customHeight="false" outlineLevel="0" collapsed="false">
      <c r="A12" s="94" t="s">
        <v>632</v>
      </c>
      <c r="B12" s="67" t="s">
        <v>633</v>
      </c>
      <c r="C12" s="67" t="s">
        <v>605</v>
      </c>
      <c r="D12" s="83" t="s">
        <v>606</v>
      </c>
      <c r="F12" s="94" t="s">
        <v>634</v>
      </c>
      <c r="G12" s="67" t="s">
        <v>635</v>
      </c>
    </row>
    <row r="13" customFormat="false" ht="15" hidden="false" customHeight="false" outlineLevel="0" collapsed="false">
      <c r="A13" s="94" t="s">
        <v>636</v>
      </c>
      <c r="B13" s="67" t="s">
        <v>637</v>
      </c>
      <c r="C13" s="67" t="s">
        <v>605</v>
      </c>
      <c r="D13" s="83" t="s">
        <v>606</v>
      </c>
      <c r="F13" s="94" t="s">
        <v>638</v>
      </c>
      <c r="G13" s="67" t="s">
        <v>639</v>
      </c>
    </row>
    <row r="14" customFormat="false" ht="15" hidden="false" customHeight="false" outlineLevel="0" collapsed="false">
      <c r="A14" s="94" t="s">
        <v>640</v>
      </c>
      <c r="B14" s="67" t="s">
        <v>641</v>
      </c>
      <c r="C14" s="67" t="s">
        <v>642</v>
      </c>
      <c r="D14" s="83" t="s">
        <v>643</v>
      </c>
      <c r="F14" s="94" t="s">
        <v>644</v>
      </c>
      <c r="G14" s="67" t="s">
        <v>645</v>
      </c>
    </row>
    <row r="15" customFormat="false" ht="15" hidden="false" customHeight="false" outlineLevel="0" collapsed="false">
      <c r="A15" s="94" t="s">
        <v>646</v>
      </c>
      <c r="B15" s="67" t="s">
        <v>647</v>
      </c>
      <c r="C15" s="67" t="s">
        <v>605</v>
      </c>
      <c r="D15" s="83" t="s">
        <v>606</v>
      </c>
      <c r="F15" s="94" t="s">
        <v>648</v>
      </c>
      <c r="G15" s="67" t="s">
        <v>649</v>
      </c>
    </row>
    <row r="16" customFormat="false" ht="15" hidden="false" customHeight="false" outlineLevel="0" collapsed="false">
      <c r="A16" s="94" t="s">
        <v>650</v>
      </c>
      <c r="B16" s="67" t="s">
        <v>651</v>
      </c>
      <c r="C16" s="67" t="s">
        <v>605</v>
      </c>
      <c r="D16" s="83" t="s">
        <v>606</v>
      </c>
      <c r="F16" s="94" t="s">
        <v>652</v>
      </c>
      <c r="G16" s="67" t="s">
        <v>653</v>
      </c>
    </row>
    <row r="17" customFormat="false" ht="15" hidden="false" customHeight="false" outlineLevel="0" collapsed="false">
      <c r="A17" s="94" t="s">
        <v>654</v>
      </c>
      <c r="B17" s="67" t="s">
        <v>655</v>
      </c>
      <c r="C17" s="67" t="s">
        <v>605</v>
      </c>
      <c r="D17" s="83" t="s">
        <v>606</v>
      </c>
      <c r="F17" s="94" t="s">
        <v>361</v>
      </c>
      <c r="G17" s="67" t="s">
        <v>656</v>
      </c>
    </row>
    <row r="18" customFormat="false" ht="15" hidden="false" customHeight="false" outlineLevel="0" collapsed="false">
      <c r="A18" s="94" t="s">
        <v>657</v>
      </c>
      <c r="B18" s="67" t="s">
        <v>658</v>
      </c>
      <c r="C18" s="67" t="s">
        <v>605</v>
      </c>
      <c r="D18" s="83" t="s">
        <v>606</v>
      </c>
      <c r="F18" s="94" t="s">
        <v>659</v>
      </c>
      <c r="G18" s="67" t="s">
        <v>660</v>
      </c>
    </row>
    <row r="19" customFormat="false" ht="15" hidden="false" customHeight="false" outlineLevel="0" collapsed="false">
      <c r="A19" s="94" t="s">
        <v>661</v>
      </c>
      <c r="B19" s="67" t="s">
        <v>662</v>
      </c>
      <c r="C19" s="67" t="s">
        <v>605</v>
      </c>
      <c r="D19" s="83" t="s">
        <v>606</v>
      </c>
      <c r="F19" s="94" t="s">
        <v>663</v>
      </c>
      <c r="G19" s="67" t="s">
        <v>664</v>
      </c>
    </row>
    <row r="20" customFormat="false" ht="15" hidden="false" customHeight="false" outlineLevel="0" collapsed="false">
      <c r="A20" s="94" t="s">
        <v>665</v>
      </c>
      <c r="B20" s="67" t="s">
        <v>666</v>
      </c>
      <c r="C20" s="67" t="s">
        <v>667</v>
      </c>
      <c r="D20" s="83" t="s">
        <v>668</v>
      </c>
      <c r="F20" s="94" t="s">
        <v>669</v>
      </c>
      <c r="G20" s="67" t="s">
        <v>670</v>
      </c>
    </row>
    <row r="21" customFormat="false" ht="15" hidden="false" customHeight="false" outlineLevel="0" collapsed="false">
      <c r="A21" s="94" t="s">
        <v>671</v>
      </c>
      <c r="B21" s="67" t="s">
        <v>672</v>
      </c>
      <c r="C21" s="67" t="s">
        <v>667</v>
      </c>
      <c r="D21" s="83" t="s">
        <v>668</v>
      </c>
      <c r="F21" s="94" t="s">
        <v>673</v>
      </c>
      <c r="G21" s="67" t="s">
        <v>674</v>
      </c>
    </row>
    <row r="22" customFormat="false" ht="15" hidden="false" customHeight="false" outlineLevel="0" collapsed="false">
      <c r="A22" s="94" t="s">
        <v>675</v>
      </c>
      <c r="B22" s="67" t="s">
        <v>676</v>
      </c>
      <c r="C22" s="67" t="s">
        <v>667</v>
      </c>
      <c r="D22" s="83" t="s">
        <v>668</v>
      </c>
      <c r="F22" s="94" t="s">
        <v>677</v>
      </c>
      <c r="G22" s="67" t="s">
        <v>678</v>
      </c>
    </row>
    <row r="23" customFormat="false" ht="15" hidden="false" customHeight="false" outlineLevel="0" collapsed="false">
      <c r="A23" s="94" t="s">
        <v>387</v>
      </c>
      <c r="B23" s="67" t="s">
        <v>679</v>
      </c>
      <c r="C23" s="67" t="s">
        <v>680</v>
      </c>
      <c r="D23" s="83" t="s">
        <v>681</v>
      </c>
      <c r="F23" s="94" t="s">
        <v>682</v>
      </c>
      <c r="G23" s="67" t="s">
        <v>683</v>
      </c>
    </row>
    <row r="24" customFormat="false" ht="15" hidden="false" customHeight="false" outlineLevel="0" collapsed="false">
      <c r="A24" s="94" t="s">
        <v>304</v>
      </c>
      <c r="B24" s="67" t="s">
        <v>684</v>
      </c>
      <c r="C24" s="67" t="s">
        <v>680</v>
      </c>
      <c r="D24" s="83" t="s">
        <v>681</v>
      </c>
      <c r="F24" s="94" t="s">
        <v>685</v>
      </c>
      <c r="G24" s="67" t="s">
        <v>686</v>
      </c>
    </row>
    <row r="25" customFormat="false" ht="15" hidden="false" customHeight="false" outlineLevel="0" collapsed="false">
      <c r="A25" s="94" t="s">
        <v>687</v>
      </c>
      <c r="B25" s="67" t="s">
        <v>688</v>
      </c>
      <c r="C25" s="67" t="s">
        <v>689</v>
      </c>
      <c r="D25" s="83" t="s">
        <v>690</v>
      </c>
      <c r="F25" s="94" t="s">
        <v>691</v>
      </c>
      <c r="G25" s="67" t="s">
        <v>692</v>
      </c>
    </row>
    <row r="26" customFormat="false" ht="15" hidden="false" customHeight="false" outlineLevel="0" collapsed="false">
      <c r="A26" s="94" t="s">
        <v>693</v>
      </c>
      <c r="B26" s="67" t="s">
        <v>694</v>
      </c>
      <c r="C26" s="67" t="s">
        <v>695</v>
      </c>
      <c r="D26" s="83" t="s">
        <v>696</v>
      </c>
      <c r="F26" s="94" t="s">
        <v>697</v>
      </c>
      <c r="G26" s="67" t="s">
        <v>698</v>
      </c>
    </row>
    <row r="27" customFormat="false" ht="15" hidden="false" customHeight="false" outlineLevel="0" collapsed="false">
      <c r="A27" s="94" t="s">
        <v>699</v>
      </c>
      <c r="B27" s="67" t="s">
        <v>700</v>
      </c>
      <c r="C27" s="67" t="s">
        <v>695</v>
      </c>
      <c r="D27" s="83" t="s">
        <v>696</v>
      </c>
      <c r="F27" s="94" t="s">
        <v>701</v>
      </c>
      <c r="G27" s="67" t="s">
        <v>702</v>
      </c>
    </row>
    <row r="28" customFormat="false" ht="15" hidden="false" customHeight="false" outlineLevel="0" collapsed="false">
      <c r="A28" s="94" t="s">
        <v>703</v>
      </c>
      <c r="B28" s="67" t="s">
        <v>704</v>
      </c>
      <c r="C28" s="67" t="s">
        <v>705</v>
      </c>
      <c r="D28" s="83" t="s">
        <v>706</v>
      </c>
      <c r="F28" s="94" t="s">
        <v>707</v>
      </c>
      <c r="G28" s="67" t="s">
        <v>708</v>
      </c>
    </row>
    <row r="29" customFormat="false" ht="15" hidden="false" customHeight="false" outlineLevel="0" collapsed="false">
      <c r="A29" s="94" t="s">
        <v>709</v>
      </c>
      <c r="B29" s="67" t="s">
        <v>710</v>
      </c>
      <c r="C29" s="67" t="s">
        <v>711</v>
      </c>
      <c r="D29" s="83" t="s">
        <v>712</v>
      </c>
      <c r="F29" s="94" t="s">
        <v>713</v>
      </c>
      <c r="G29" s="67" t="s">
        <v>714</v>
      </c>
    </row>
    <row r="30" customFormat="false" ht="15" hidden="false" customHeight="false" outlineLevel="0" collapsed="false">
      <c r="A30" s="94" t="s">
        <v>715</v>
      </c>
      <c r="B30" s="67" t="s">
        <v>716</v>
      </c>
      <c r="C30" s="67" t="s">
        <v>695</v>
      </c>
      <c r="D30" s="83" t="s">
        <v>696</v>
      </c>
      <c r="F30" s="94" t="s">
        <v>717</v>
      </c>
      <c r="G30" s="67" t="s">
        <v>718</v>
      </c>
    </row>
    <row r="31" customFormat="false" ht="22.35" hidden="false" customHeight="false" outlineLevel="0" collapsed="false">
      <c r="A31" s="94" t="s">
        <v>719</v>
      </c>
      <c r="B31" s="67" t="s">
        <v>720</v>
      </c>
      <c r="C31" s="67" t="s">
        <v>695</v>
      </c>
      <c r="D31" s="83" t="s">
        <v>696</v>
      </c>
      <c r="F31" s="94" t="s">
        <v>721</v>
      </c>
      <c r="G31" s="67" t="s">
        <v>722</v>
      </c>
    </row>
    <row r="32" customFormat="false" ht="15" hidden="false" customHeight="false" outlineLevel="0" collapsed="false">
      <c r="A32" s="94" t="s">
        <v>723</v>
      </c>
      <c r="B32" s="67" t="s">
        <v>724</v>
      </c>
      <c r="C32" s="67" t="s">
        <v>705</v>
      </c>
      <c r="D32" s="83" t="s">
        <v>706</v>
      </c>
      <c r="F32" s="94" t="s">
        <v>725</v>
      </c>
      <c r="G32" s="67" t="s">
        <v>726</v>
      </c>
    </row>
    <row r="33" customFormat="false" ht="15" hidden="false" customHeight="false" outlineLevel="0" collapsed="false">
      <c r="A33" s="94" t="s">
        <v>727</v>
      </c>
      <c r="B33" s="67" t="s">
        <v>728</v>
      </c>
      <c r="C33" s="67" t="s">
        <v>689</v>
      </c>
      <c r="D33" s="83" t="s">
        <v>690</v>
      </c>
      <c r="F33" s="94" t="s">
        <v>729</v>
      </c>
      <c r="G33" s="67" t="s">
        <v>730</v>
      </c>
    </row>
    <row r="34" customFormat="false" ht="15" hidden="false" customHeight="false" outlineLevel="0" collapsed="false">
      <c r="A34" s="94" t="s">
        <v>731</v>
      </c>
      <c r="B34" s="67" t="s">
        <v>732</v>
      </c>
      <c r="C34" s="67" t="s">
        <v>705</v>
      </c>
      <c r="D34" s="83" t="s">
        <v>706</v>
      </c>
      <c r="F34" s="94" t="s">
        <v>733</v>
      </c>
      <c r="G34" s="67" t="s">
        <v>734</v>
      </c>
    </row>
    <row r="35" customFormat="false" ht="15" hidden="false" customHeight="false" outlineLevel="0" collapsed="false">
      <c r="A35" s="94" t="s">
        <v>735</v>
      </c>
      <c r="B35" s="67" t="s">
        <v>736</v>
      </c>
      <c r="C35" s="67" t="s">
        <v>737</v>
      </c>
      <c r="D35" s="83" t="s">
        <v>706</v>
      </c>
      <c r="F35" s="94" t="s">
        <v>738</v>
      </c>
      <c r="G35" s="67" t="s">
        <v>739</v>
      </c>
    </row>
    <row r="36" customFormat="false" ht="15" hidden="false" customHeight="false" outlineLevel="0" collapsed="false">
      <c r="A36" s="94" t="s">
        <v>740</v>
      </c>
      <c r="B36" s="67" t="s">
        <v>741</v>
      </c>
      <c r="C36" s="67" t="s">
        <v>689</v>
      </c>
      <c r="D36" s="83" t="s">
        <v>690</v>
      </c>
      <c r="F36" s="94" t="s">
        <v>742</v>
      </c>
      <c r="G36" s="67" t="s">
        <v>743</v>
      </c>
    </row>
    <row r="37" customFormat="false" ht="15" hidden="false" customHeight="false" outlineLevel="0" collapsed="false">
      <c r="A37" s="94" t="s">
        <v>744</v>
      </c>
      <c r="B37" s="67" t="s">
        <v>745</v>
      </c>
      <c r="C37" s="67" t="s">
        <v>705</v>
      </c>
      <c r="D37" s="83" t="s">
        <v>706</v>
      </c>
      <c r="F37" s="94" t="s">
        <v>746</v>
      </c>
      <c r="G37" s="67" t="s">
        <v>747</v>
      </c>
    </row>
    <row r="38" customFormat="false" ht="15" hidden="false" customHeight="false" outlineLevel="0" collapsed="false">
      <c r="A38" s="94" t="s">
        <v>748</v>
      </c>
      <c r="B38" s="67" t="s">
        <v>749</v>
      </c>
      <c r="C38" s="67" t="s">
        <v>695</v>
      </c>
      <c r="D38" s="83" t="s">
        <v>696</v>
      </c>
      <c r="F38" s="94" t="s">
        <v>750</v>
      </c>
      <c r="G38" s="67" t="s">
        <v>751</v>
      </c>
    </row>
    <row r="39" customFormat="false" ht="15" hidden="false" customHeight="false" outlineLevel="0" collapsed="false">
      <c r="A39" s="94" t="s">
        <v>752</v>
      </c>
      <c r="B39" s="67" t="s">
        <v>753</v>
      </c>
      <c r="C39" s="67" t="s">
        <v>695</v>
      </c>
      <c r="D39" s="83" t="s">
        <v>696</v>
      </c>
      <c r="F39" s="94" t="s">
        <v>754</v>
      </c>
      <c r="G39" s="67" t="s">
        <v>755</v>
      </c>
    </row>
    <row r="40" customFormat="false" ht="15" hidden="false" customHeight="false" outlineLevel="0" collapsed="false">
      <c r="A40" s="94" t="s">
        <v>756</v>
      </c>
      <c r="B40" s="67" t="s">
        <v>757</v>
      </c>
      <c r="C40" s="67" t="s">
        <v>705</v>
      </c>
      <c r="D40" s="83" t="s">
        <v>706</v>
      </c>
      <c r="F40" s="94" t="s">
        <v>758</v>
      </c>
      <c r="G40" s="67" t="s">
        <v>759</v>
      </c>
    </row>
    <row r="41" customFormat="false" ht="15" hidden="false" customHeight="false" outlineLevel="0" collapsed="false">
      <c r="A41" s="94" t="s">
        <v>760</v>
      </c>
      <c r="B41" s="67" t="s">
        <v>761</v>
      </c>
      <c r="C41" s="67" t="s">
        <v>737</v>
      </c>
      <c r="D41" s="83" t="s">
        <v>712</v>
      </c>
      <c r="F41" s="94" t="s">
        <v>762</v>
      </c>
      <c r="G41" s="67" t="s">
        <v>763</v>
      </c>
    </row>
    <row r="42" customFormat="false" ht="15" hidden="false" customHeight="false" outlineLevel="0" collapsed="false">
      <c r="A42" s="94" t="s">
        <v>764</v>
      </c>
      <c r="B42" s="67" t="s">
        <v>765</v>
      </c>
      <c r="C42" s="67" t="s">
        <v>705</v>
      </c>
      <c r="D42" s="83" t="s">
        <v>706</v>
      </c>
      <c r="F42" s="94" t="s">
        <v>766</v>
      </c>
      <c r="G42" s="67" t="s">
        <v>767</v>
      </c>
    </row>
    <row r="43" customFormat="false" ht="15" hidden="false" customHeight="false" outlineLevel="0" collapsed="false">
      <c r="A43" s="94" t="s">
        <v>768</v>
      </c>
      <c r="B43" s="67" t="s">
        <v>769</v>
      </c>
      <c r="C43" s="67" t="s">
        <v>705</v>
      </c>
      <c r="D43" s="83" t="s">
        <v>706</v>
      </c>
      <c r="F43" s="94" t="s">
        <v>770</v>
      </c>
      <c r="G43" s="67" t="s">
        <v>771</v>
      </c>
    </row>
    <row r="44" customFormat="false" ht="15" hidden="false" customHeight="false" outlineLevel="0" collapsed="false">
      <c r="A44" s="94" t="s">
        <v>772</v>
      </c>
      <c r="B44" s="67" t="s">
        <v>773</v>
      </c>
      <c r="C44" s="67" t="s">
        <v>774</v>
      </c>
      <c r="D44" s="83" t="s">
        <v>712</v>
      </c>
      <c r="F44" s="94" t="s">
        <v>775</v>
      </c>
      <c r="G44" s="67" t="s">
        <v>776</v>
      </c>
    </row>
    <row r="45" customFormat="false" ht="15" hidden="false" customHeight="false" outlineLevel="0" collapsed="false">
      <c r="A45" s="94" t="s">
        <v>777</v>
      </c>
      <c r="B45" s="67" t="s">
        <v>778</v>
      </c>
      <c r="C45" s="67" t="s">
        <v>779</v>
      </c>
      <c r="D45" s="83" t="s">
        <v>712</v>
      </c>
      <c r="F45" s="94" t="s">
        <v>780</v>
      </c>
      <c r="G45" s="67" t="s">
        <v>781</v>
      </c>
    </row>
    <row r="46" customFormat="false" ht="15" hidden="false" customHeight="false" outlineLevel="0" collapsed="false">
      <c r="A46" s="94" t="s">
        <v>782</v>
      </c>
      <c r="B46" s="67" t="s">
        <v>783</v>
      </c>
      <c r="C46" s="67" t="s">
        <v>784</v>
      </c>
      <c r="D46" s="83" t="s">
        <v>712</v>
      </c>
      <c r="F46" s="94" t="s">
        <v>785</v>
      </c>
      <c r="G46" s="67" t="s">
        <v>786</v>
      </c>
    </row>
    <row r="47" customFormat="false" ht="15" hidden="false" customHeight="false" outlineLevel="0" collapsed="false">
      <c r="A47" s="94" t="s">
        <v>787</v>
      </c>
      <c r="B47" s="67" t="s">
        <v>788</v>
      </c>
      <c r="C47" s="67" t="s">
        <v>784</v>
      </c>
      <c r="D47" s="83" t="s">
        <v>712</v>
      </c>
      <c r="F47" s="94" t="s">
        <v>789</v>
      </c>
      <c r="G47" s="67" t="s">
        <v>790</v>
      </c>
    </row>
    <row r="48" customFormat="false" ht="15" hidden="false" customHeight="false" outlineLevel="0" collapsed="false">
      <c r="A48" s="94" t="s">
        <v>791</v>
      </c>
      <c r="B48" s="67" t="s">
        <v>792</v>
      </c>
      <c r="C48" s="67" t="s">
        <v>793</v>
      </c>
      <c r="D48" s="83" t="s">
        <v>712</v>
      </c>
    </row>
    <row r="49" customFormat="false" ht="15" hidden="false" customHeight="false" outlineLevel="0" collapsed="false">
      <c r="A49" s="94" t="s">
        <v>794</v>
      </c>
      <c r="B49" s="67" t="s">
        <v>795</v>
      </c>
      <c r="C49" s="67" t="s">
        <v>796</v>
      </c>
      <c r="D49" s="83" t="s">
        <v>712</v>
      </c>
    </row>
    <row r="50" customFormat="false" ht="15" hidden="false" customHeight="false" outlineLevel="0" collapsed="false">
      <c r="A50" s="94" t="s">
        <v>797</v>
      </c>
      <c r="B50" s="67" t="s">
        <v>798</v>
      </c>
      <c r="C50" s="67" t="s">
        <v>796</v>
      </c>
      <c r="D50" s="83" t="s">
        <v>712</v>
      </c>
    </row>
    <row r="51" customFormat="false" ht="15" hidden="false" customHeight="false" outlineLevel="0" collapsed="false">
      <c r="A51" s="94" t="s">
        <v>799</v>
      </c>
      <c r="B51" s="67" t="s">
        <v>800</v>
      </c>
      <c r="C51" s="67" t="s">
        <v>796</v>
      </c>
      <c r="D51" s="83" t="s">
        <v>712</v>
      </c>
    </row>
    <row r="52" customFormat="false" ht="15" hidden="false" customHeight="false" outlineLevel="0" collapsed="false">
      <c r="A52" s="94" t="s">
        <v>801</v>
      </c>
      <c r="B52" s="67" t="s">
        <v>802</v>
      </c>
      <c r="C52" s="67" t="s">
        <v>796</v>
      </c>
      <c r="D52" s="83" t="s">
        <v>712</v>
      </c>
    </row>
    <row r="53" customFormat="false" ht="15" hidden="false" customHeight="false" outlineLevel="0" collapsed="false">
      <c r="A53" s="94" t="s">
        <v>803</v>
      </c>
      <c r="B53" s="67" t="s">
        <v>804</v>
      </c>
      <c r="C53" s="67" t="s">
        <v>805</v>
      </c>
      <c r="D53" s="83" t="s">
        <v>712</v>
      </c>
    </row>
    <row r="54" customFormat="false" ht="15" hidden="false" customHeight="false" outlineLevel="0" collapsed="false">
      <c r="A54" s="94" t="s">
        <v>806</v>
      </c>
      <c r="B54" s="67" t="s">
        <v>807</v>
      </c>
      <c r="C54" s="67" t="s">
        <v>805</v>
      </c>
      <c r="D54" s="83" t="s">
        <v>712</v>
      </c>
    </row>
    <row r="55" customFormat="false" ht="15" hidden="false" customHeight="false" outlineLevel="0" collapsed="false">
      <c r="A55" s="94" t="s">
        <v>808</v>
      </c>
      <c r="B55" s="67" t="s">
        <v>809</v>
      </c>
      <c r="C55" s="67" t="s">
        <v>805</v>
      </c>
      <c r="D55" s="83" t="s">
        <v>712</v>
      </c>
    </row>
    <row r="56" customFormat="false" ht="15" hidden="false" customHeight="false" outlineLevel="0" collapsed="false">
      <c r="A56" s="94" t="s">
        <v>810</v>
      </c>
      <c r="B56" s="67" t="s">
        <v>811</v>
      </c>
      <c r="C56" s="67" t="s">
        <v>812</v>
      </c>
      <c r="D56" s="83" t="s">
        <v>217</v>
      </c>
    </row>
    <row r="57" customFormat="false" ht="15" hidden="false" customHeight="false" outlineLevel="0" collapsed="false">
      <c r="A57" s="94" t="s">
        <v>813</v>
      </c>
      <c r="B57" s="67" t="s">
        <v>814</v>
      </c>
      <c r="C57" s="67" t="s">
        <v>815</v>
      </c>
      <c r="D57" s="83" t="s">
        <v>712</v>
      </c>
    </row>
    <row r="58" customFormat="false" ht="15" hidden="false" customHeight="false" outlineLevel="0" collapsed="false">
      <c r="A58" s="94" t="s">
        <v>816</v>
      </c>
      <c r="B58" s="67" t="s">
        <v>817</v>
      </c>
      <c r="C58" s="67" t="s">
        <v>815</v>
      </c>
      <c r="D58" s="83" t="s">
        <v>712</v>
      </c>
    </row>
    <row r="59" customFormat="false" ht="15" hidden="false" customHeight="false" outlineLevel="0" collapsed="false">
      <c r="A59" s="94" t="s">
        <v>818</v>
      </c>
      <c r="B59" s="67" t="s">
        <v>819</v>
      </c>
      <c r="C59" s="67" t="s">
        <v>815</v>
      </c>
      <c r="D59" s="83" t="s">
        <v>712</v>
      </c>
    </row>
    <row r="60" customFormat="false" ht="15" hidden="false" customHeight="false" outlineLevel="0" collapsed="false">
      <c r="A60" s="94" t="s">
        <v>820</v>
      </c>
      <c r="B60" s="67" t="s">
        <v>821</v>
      </c>
      <c r="C60" s="67" t="s">
        <v>815</v>
      </c>
      <c r="D60" s="83" t="s">
        <v>712</v>
      </c>
    </row>
    <row r="61" customFormat="false" ht="15" hidden="false" customHeight="false" outlineLevel="0" collapsed="false">
      <c r="A61" s="94" t="s">
        <v>822</v>
      </c>
      <c r="B61" s="67" t="s">
        <v>823</v>
      </c>
      <c r="C61" s="67" t="s">
        <v>824</v>
      </c>
      <c r="D61" s="83" t="s">
        <v>825</v>
      </c>
    </row>
    <row r="62" customFormat="false" ht="15" hidden="false" customHeight="false" outlineLevel="0" collapsed="false">
      <c r="A62" s="94" t="s">
        <v>826</v>
      </c>
      <c r="B62" s="67" t="s">
        <v>827</v>
      </c>
      <c r="C62" s="67" t="s">
        <v>824</v>
      </c>
      <c r="D62" s="83" t="s">
        <v>825</v>
      </c>
    </row>
    <row r="63" customFormat="false" ht="15" hidden="false" customHeight="false" outlineLevel="0" collapsed="false">
      <c r="A63" s="94" t="s">
        <v>828</v>
      </c>
      <c r="B63" s="67" t="s">
        <v>829</v>
      </c>
      <c r="C63" s="67" t="s">
        <v>824</v>
      </c>
      <c r="D63" s="83" t="s">
        <v>825</v>
      </c>
    </row>
    <row r="64" customFormat="false" ht="15" hidden="false" customHeight="false" outlineLevel="0" collapsed="false">
      <c r="A64" s="94" t="s">
        <v>830</v>
      </c>
      <c r="B64" s="67" t="s">
        <v>831</v>
      </c>
      <c r="C64" s="67" t="s">
        <v>824</v>
      </c>
      <c r="D64" s="83" t="s">
        <v>217</v>
      </c>
    </row>
    <row r="65" customFormat="false" ht="15" hidden="false" customHeight="false" outlineLevel="0" collapsed="false">
      <c r="A65" s="94" t="s">
        <v>832</v>
      </c>
      <c r="B65" s="67" t="s">
        <v>833</v>
      </c>
      <c r="C65" s="67" t="s">
        <v>824</v>
      </c>
      <c r="D65" s="83" t="s">
        <v>217</v>
      </c>
    </row>
    <row r="66" customFormat="false" ht="15" hidden="false" customHeight="false" outlineLevel="0" collapsed="false">
      <c r="A66" s="94" t="s">
        <v>834</v>
      </c>
      <c r="B66" s="67" t="s">
        <v>835</v>
      </c>
      <c r="C66" s="67" t="s">
        <v>836</v>
      </c>
      <c r="D66" s="83" t="s">
        <v>217</v>
      </c>
    </row>
    <row r="67" customFormat="false" ht="15" hidden="false" customHeight="false" outlineLevel="0" collapsed="false">
      <c r="A67" s="94" t="s">
        <v>837</v>
      </c>
      <c r="B67" s="67" t="s">
        <v>838</v>
      </c>
      <c r="C67" s="67" t="s">
        <v>836</v>
      </c>
      <c r="D67" s="83" t="s">
        <v>217</v>
      </c>
    </row>
    <row r="68" customFormat="false" ht="15" hidden="false" customHeight="false" outlineLevel="0" collapsed="false">
      <c r="A68" s="94" t="s">
        <v>839</v>
      </c>
      <c r="B68" s="67" t="s">
        <v>840</v>
      </c>
      <c r="C68" s="67" t="s">
        <v>836</v>
      </c>
      <c r="D68" s="83" t="s">
        <v>217</v>
      </c>
    </row>
    <row r="69" customFormat="false" ht="15" hidden="false" customHeight="false" outlineLevel="0" collapsed="false">
      <c r="A69" s="94" t="s">
        <v>841</v>
      </c>
      <c r="B69" s="67" t="s">
        <v>842</v>
      </c>
      <c r="C69" s="67" t="s">
        <v>836</v>
      </c>
      <c r="D69" s="83" t="s">
        <v>217</v>
      </c>
    </row>
  </sheetData>
  <sheetProtection sheet="true" password="df18" formatCells="false" formatColumns="false" formatRows="false" insertRows="false" deleteRows="false" sort="false" autoFilter="false"/>
  <mergeCells count="2">
    <mergeCell ref="A1:G1"/>
    <mergeCell ref="A2:G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3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sheetData>
    <row r="1" customFormat="false" ht="15" hidden="false" customHeight="false" outlineLevel="0" collapsed="false">
      <c r="A1" s="95" t="s">
        <v>843</v>
      </c>
      <c r="B1" s="95" t="s">
        <v>844</v>
      </c>
      <c r="C1" s="95" t="s">
        <v>845</v>
      </c>
      <c r="E1" s="95" t="s">
        <v>846</v>
      </c>
      <c r="F1" s="95" t="s">
        <v>847</v>
      </c>
      <c r="H1" s="95" t="s">
        <v>122</v>
      </c>
      <c r="I1" s="95" t="s">
        <v>32</v>
      </c>
      <c r="J1" s="95" t="s">
        <v>34</v>
      </c>
      <c r="K1" s="95" t="s">
        <v>36</v>
      </c>
      <c r="L1" s="95" t="s">
        <v>38</v>
      </c>
      <c r="N1" s="95" t="s">
        <v>848</v>
      </c>
      <c r="O1" s="95" t="s">
        <v>849</v>
      </c>
      <c r="Q1" s="95" t="s">
        <v>850</v>
      </c>
      <c r="R1" s="95" t="s">
        <v>520</v>
      </c>
      <c r="S1" s="95" t="s">
        <v>851</v>
      </c>
      <c r="U1" s="95" t="s">
        <v>852</v>
      </c>
      <c r="V1" s="95" t="s">
        <v>853</v>
      </c>
      <c r="X1" s="95" t="s">
        <v>854</v>
      </c>
    </row>
    <row r="2" customFormat="false" ht="15" hidden="false" customHeight="false" outlineLevel="0" collapsed="false">
      <c r="A2" s="0" t="n">
        <f aca="false">IF('🧪 INVENTAIRE'!B3="",9000000000000000,IF('🧪 INVENTAIRE'!AJ3="",8000000000000000+ROW(),'🧪 INVENTAIRE'!AJ3*100000+ROW()))</f>
        <v>4719200002</v>
      </c>
      <c r="B2" s="0" t="str">
        <f aca="false">IF(AND('🧪 INVENTAIRE'!B3&lt;&gt;"",'🧪 INVENTAIRE'!BC3&lt;&gt;""),ROW('🧪 INVENTAIRE'!B3),"")</f>
        <v/>
      </c>
      <c r="C2" s="0" t="n">
        <f aca="false">IF('🧪 INVENTAIRE'!B3="","",N('🧪 INVENTAIRE'!O3)+ROW()/1000000)</f>
        <v>25.000002</v>
      </c>
      <c r="E2" s="0" t="s">
        <v>855</v>
      </c>
      <c r="F2" s="0" t="n">
        <f aca="false">COUNTIF(Inv_Pictos,"GHS01*")</f>
        <v>0</v>
      </c>
      <c r="H2" s="0" t="str">
        <f aca="false">'⚙️ PARAMÈTRES'!$B$5</f>
        <v>Atelier recharge extincteurs</v>
      </c>
      <c r="I2" s="0" t="n">
        <f aca="false">COUNTIFS(Inv_Atelier,$H2,Inv_StatutFDS,I$1)</f>
        <v>2</v>
      </c>
      <c r="J2" s="0" t="n">
        <f aca="false">COUNTIFS(Inv_Atelier,$H2,Inv_StatutFDS,J$1)</f>
        <v>1</v>
      </c>
      <c r="K2" s="0" t="n">
        <f aca="false">COUNTIFS(Inv_Atelier,$H2,Inv_StatutFDS,K$1)</f>
        <v>0</v>
      </c>
      <c r="L2" s="0" t="n">
        <f aca="false">COUNTIFS(Inv_Atelier,$H2,Inv_StatutFDS,L$1)</f>
        <v>1</v>
      </c>
      <c r="N2" s="0" t="s">
        <v>32</v>
      </c>
      <c r="O2" s="0" t="n">
        <f aca="false">COUNTIF(Inv_StatutFDS,N2)</f>
        <v>14</v>
      </c>
      <c r="Q2" s="0" t="n">
        <f aca="false">IFERROR(LARGE(CleQte,1),"")</f>
        <v>1000.000021</v>
      </c>
      <c r="R2" s="0" t="str">
        <f aca="false">IF($Q2="","",INDEX(Inv_Nom,MATCH($Q2,CleQte,0))&amp;" ("&amp;INDEX(Inv_Unite,MATCH($Q2,CleQte,0))&amp;")")</f>
        <v>Gazole (groupe électrogène) (L)</v>
      </c>
      <c r="S2" s="96" t="n">
        <f aca="false">IF($Q2="","",INDEX(Inv_Qte,MATCH($Q2,CleQte,0)))</f>
        <v>1000</v>
      </c>
      <c r="U2" s="88" t="s">
        <v>856</v>
      </c>
      <c r="V2" s="97" t="n">
        <v>0.52</v>
      </c>
      <c r="X2" s="88" t="n">
        <f aca="false">COUNTIF(Inv_Nom,"&lt;&gt;")</f>
        <v>20</v>
      </c>
    </row>
    <row r="3" customFormat="false" ht="15" hidden="false" customHeight="false" outlineLevel="0" collapsed="false">
      <c r="A3" s="0" t="n">
        <f aca="false">IF('🧪 INVENTAIRE'!B4="",9000000000000000,IF('🧪 INVENTAIRE'!AJ4="",8000000000000000+ROW(),'🧪 INVENTAIRE'!AJ4*100000+ROW()))</f>
        <v>4645600003</v>
      </c>
      <c r="B3" s="0" t="str">
        <f aca="false">IF(AND('🧪 INVENTAIRE'!B4&lt;&gt;"",'🧪 INVENTAIRE'!BC4&lt;&gt;""),ROW('🧪 INVENTAIRE'!B4),"")</f>
        <v/>
      </c>
      <c r="C3" s="0" t="n">
        <f aca="false">IF('🧪 INVENTAIRE'!B4="","",N('🧪 INVENTAIRE'!O4)+ROW()/1000000)</f>
        <v>60.000003</v>
      </c>
      <c r="E3" s="0" t="s">
        <v>857</v>
      </c>
      <c r="F3" s="0" t="n">
        <f aca="false">COUNTIF(Inv_Pictos,"GHS02*")</f>
        <v>8</v>
      </c>
      <c r="H3" s="0" t="str">
        <f aca="false">'⚙️ PARAMÈTRES'!$B$6</f>
        <v>Atelier maintenance</v>
      </c>
      <c r="I3" s="0" t="n">
        <f aca="false">COUNTIFS(Inv_Atelier,$H3,Inv_StatutFDS,I$1)</f>
        <v>6</v>
      </c>
      <c r="J3" s="0" t="n">
        <f aca="false">COUNTIFS(Inv_Atelier,$H3,Inv_StatutFDS,J$1)</f>
        <v>1</v>
      </c>
      <c r="K3" s="0" t="n">
        <f aca="false">COUNTIFS(Inv_Atelier,$H3,Inv_StatutFDS,K$1)</f>
        <v>1</v>
      </c>
      <c r="L3" s="0" t="n">
        <f aca="false">COUNTIFS(Inv_Atelier,$H3,Inv_StatutFDS,L$1)</f>
        <v>1</v>
      </c>
      <c r="N3" s="0" t="s">
        <v>34</v>
      </c>
      <c r="O3" s="0" t="n">
        <f aca="false">COUNTIF(Inv_StatutFDS,N3)</f>
        <v>2</v>
      </c>
      <c r="Q3" s="0" t="n">
        <f aca="false">IFERROR(LARGE(CleQte,2),"")</f>
        <v>400.000012</v>
      </c>
      <c r="R3" s="0" t="str">
        <f aca="false">IF($Q3="","",INDEX(Inv_Nom,MATCH($Q3,CleQte,0))&amp;" ("&amp;INDEX(Inv_Unite,MATCH($Q3,CleQte,0))&amp;")")</f>
        <v>Poudre extinctrice ABC (kg)</v>
      </c>
      <c r="S3" s="96" t="n">
        <f aca="false">IF($Q3="","",INDEX(Inv_Qte,MATCH($Q3,CleQte,0)))</f>
        <v>400</v>
      </c>
      <c r="U3" s="88" t="s">
        <v>858</v>
      </c>
      <c r="V3" s="97" t="n">
        <v>0.55</v>
      </c>
    </row>
    <row r="4" customFormat="false" ht="15" hidden="false" customHeight="false" outlineLevel="0" collapsed="false">
      <c r="A4" s="0" t="n">
        <f aca="false">IF('🧪 INVENTAIRE'!B5="",9000000000000000,IF('🧪 INVENTAIRE'!AJ5="",8000000000000000+ROW(),'🧪 INVENTAIRE'!AJ5*100000+ROW()))</f>
        <v>4633100004</v>
      </c>
      <c r="B4" s="0" t="str">
        <f aca="false">IF(AND('🧪 INVENTAIRE'!B5&lt;&gt;"",'🧪 INVENTAIRE'!BC5&lt;&gt;""),ROW('🧪 INVENTAIRE'!B5),"")</f>
        <v/>
      </c>
      <c r="C4" s="0" t="n">
        <f aca="false">IF('🧪 INVENTAIRE'!B5="","",N('🧪 INVENTAIRE'!O5)+ROW()/1000000)</f>
        <v>40.000004</v>
      </c>
      <c r="E4" s="0" t="s">
        <v>859</v>
      </c>
      <c r="F4" s="0" t="n">
        <f aca="false">COUNTIF(Inv_Pictos,"GHS03*")</f>
        <v>0</v>
      </c>
      <c r="H4" s="0" t="str">
        <f aca="false">'⚙️ PARAMÈTRES'!$B$7</f>
        <v>Magasin – Stock chimique</v>
      </c>
      <c r="I4" s="0" t="n">
        <f aca="false">COUNTIFS(Inv_Atelier,$H4,Inv_StatutFDS,I$1)</f>
        <v>2</v>
      </c>
      <c r="J4" s="0" t="n">
        <f aca="false">COUNTIFS(Inv_Atelier,$H4,Inv_StatutFDS,J$1)</f>
        <v>0</v>
      </c>
      <c r="K4" s="0" t="n">
        <f aca="false">COUNTIFS(Inv_Atelier,$H4,Inv_StatutFDS,K$1)</f>
        <v>1</v>
      </c>
      <c r="L4" s="0" t="n">
        <f aca="false">COUNTIFS(Inv_Atelier,$H4,Inv_StatutFDS,L$1)</f>
        <v>0</v>
      </c>
      <c r="N4" s="0" t="s">
        <v>36</v>
      </c>
      <c r="O4" s="0" t="n">
        <f aca="false">COUNTIF(Inv_StatutFDS,N4)</f>
        <v>2</v>
      </c>
      <c r="Q4" s="0" t="n">
        <f aca="false">IFERROR(LARGE(CleQte,3),"")</f>
        <v>200.000013</v>
      </c>
      <c r="R4" s="0" t="str">
        <f aca="false">IF($Q4="","",INDEX(Inv_Nom,MATCH($Q4,CleQte,0))&amp;" ("&amp;INDEX(Inv_Unite,MATCH($Q4,CleQte,0))&amp;")")</f>
        <v>Émulseur AFFF 3 % (L)</v>
      </c>
      <c r="S4" s="96" t="n">
        <f aca="false">IF($Q4="","",INDEX(Inv_Qte,MATCH($Q4,CleQte,0)))</f>
        <v>200</v>
      </c>
      <c r="U4" s="88" t="s">
        <v>860</v>
      </c>
      <c r="V4" s="97" t="n">
        <v>0.58</v>
      </c>
    </row>
    <row r="5" customFormat="false" ht="15" hidden="false" customHeight="false" outlineLevel="0" collapsed="false">
      <c r="A5" s="0" t="n">
        <f aca="false">IF('🧪 INVENTAIRE'!B6="",9000000000000000,IF('🧪 INVENTAIRE'!AJ6="",8000000000000000+ROW(),'🧪 INVENTAIRE'!AJ6*100000+ROW()))</f>
        <v>4692400005</v>
      </c>
      <c r="B5" s="0" t="str">
        <f aca="false">IF(AND('🧪 INVENTAIRE'!B6&lt;&gt;"",'🧪 INVENTAIRE'!BC6&lt;&gt;""),ROW('🧪 INVENTAIRE'!B6),"")</f>
        <v/>
      </c>
      <c r="C5" s="0" t="n">
        <f aca="false">IF('🧪 INVENTAIRE'!B6="","",N('🧪 INVENTAIRE'!O6)+ROW()/1000000)</f>
        <v>80.000005</v>
      </c>
      <c r="E5" s="0" t="s">
        <v>861</v>
      </c>
      <c r="F5" s="0" t="n">
        <f aca="false">COUNTIF(Inv_Pictos,"GHS04*")</f>
        <v>2</v>
      </c>
      <c r="H5" s="0" t="str">
        <f aca="false">'⚙️ PARAMÈTRES'!$B$8</f>
        <v>Local batteries &amp; onduleurs</v>
      </c>
      <c r="I5" s="0" t="n">
        <f aca="false">COUNTIFS(Inv_Atelier,$H5,Inv_StatutFDS,I$1)</f>
        <v>1</v>
      </c>
      <c r="J5" s="0" t="n">
        <f aca="false">COUNTIFS(Inv_Atelier,$H5,Inv_StatutFDS,J$1)</f>
        <v>0</v>
      </c>
      <c r="K5" s="0" t="n">
        <f aca="false">COUNTIFS(Inv_Atelier,$H5,Inv_StatutFDS,K$1)</f>
        <v>0</v>
      </c>
      <c r="L5" s="0" t="n">
        <f aca="false">COUNTIFS(Inv_Atelier,$H5,Inv_StatutFDS,L$1)</f>
        <v>0</v>
      </c>
      <c r="N5" s="0" t="s">
        <v>38</v>
      </c>
      <c r="O5" s="0" t="n">
        <f aca="false">COUNTIF(Inv_StatutFDS,N5)</f>
        <v>2</v>
      </c>
      <c r="Q5" s="0" t="n">
        <f aca="false">IFERROR(LARGE(CleQte,4),"")</f>
        <v>120.000018</v>
      </c>
      <c r="R5" s="0" t="str">
        <f aca="false">IF($Q5="","",INDEX(Inv_Nom,MATCH($Q5,CleQte,0))&amp;" ("&amp;INDEX(Inv_Unite,MATCH($Q5,CleQte,0))&amp;")")</f>
        <v>Aérosol test détecteurs de fumée (unité(s))</v>
      </c>
      <c r="S5" s="96" t="n">
        <f aca="false">IF($Q5="","",INDEX(Inv_Qte,MATCH($Q5,CleQte,0)))</f>
        <v>120</v>
      </c>
      <c r="U5" s="88" t="s">
        <v>862</v>
      </c>
      <c r="V5" s="97" t="n">
        <v>0.6</v>
      </c>
    </row>
    <row r="6" customFormat="false" ht="15" hidden="false" customHeight="false" outlineLevel="0" collapsed="false">
      <c r="A6" s="0" t="n">
        <f aca="false">IF('🧪 INVENTAIRE'!B7="",9000000000000000,IF('🧪 INVENTAIRE'!AJ7="",8000000000000000+ROW(),'🧪 INVENTAIRE'!AJ7*100000+ROW()))</f>
        <v>4752600006</v>
      </c>
      <c r="B6" s="0" t="n">
        <f aca="false">IF(AND('🧪 INVENTAIRE'!B7&lt;&gt;"",'🧪 INVENTAIRE'!BC7&lt;&gt;""),ROW('🧪 INVENTAIRE'!B7),"")</f>
        <v>7</v>
      </c>
      <c r="C6" s="0" t="n">
        <f aca="false">IF('🧪 INVENTAIRE'!B7="","",N('🧪 INVENTAIRE'!O7)+ROW()/1000000)</f>
        <v>100.000006</v>
      </c>
      <c r="E6" s="0" t="s">
        <v>863</v>
      </c>
      <c r="F6" s="0" t="n">
        <f aca="false">COUNTIF(Inv_Pictos,"GHS05*")</f>
        <v>4</v>
      </c>
      <c r="H6" s="0" t="str">
        <f aca="false">'⚙️ PARAMÈTRES'!$B$9</f>
        <v>Laboratoire – Banc d'essais</v>
      </c>
      <c r="I6" s="0" t="n">
        <f aca="false">COUNTIFS(Inv_Atelier,$H6,Inv_StatutFDS,I$1)</f>
        <v>1</v>
      </c>
      <c r="J6" s="0" t="n">
        <f aca="false">COUNTIFS(Inv_Atelier,$H6,Inv_StatutFDS,J$1)</f>
        <v>0</v>
      </c>
      <c r="K6" s="0" t="n">
        <f aca="false">COUNTIFS(Inv_Atelier,$H6,Inv_StatutFDS,K$1)</f>
        <v>0</v>
      </c>
      <c r="L6" s="0" t="n">
        <f aca="false">COUNTIFS(Inv_Atelier,$H6,Inv_StatutFDS,L$1)</f>
        <v>0</v>
      </c>
      <c r="Q6" s="0" t="n">
        <f aca="false">IFERROR(LARGE(CleQte,5),"")</f>
        <v>120.000008</v>
      </c>
      <c r="R6" s="0" t="str">
        <f aca="false">IF($Q6="","",INDEX(Inv_Nom,MATCH($Q6,CleQte,0))&amp;" ("&amp;INDEX(Inv_Unite,MATCH($Q6,CleQte,0))&amp;")")</f>
        <v>Azote liquide (L)</v>
      </c>
      <c r="S6" s="96" t="n">
        <f aca="false">IF($Q6="","",INDEX(Inv_Qte,MATCH($Q6,CleQte,0)))</f>
        <v>120</v>
      </c>
      <c r="U6" s="88" t="s">
        <v>864</v>
      </c>
      <c r="V6" s="97" t="n">
        <v>0.64</v>
      </c>
    </row>
    <row r="7" customFormat="false" ht="15" hidden="false" customHeight="false" outlineLevel="0" collapsed="false">
      <c r="A7" s="0" t="n">
        <f aca="false">IF('🧪 INVENTAIRE'!B8="",9000000000000000,IF('🧪 INVENTAIRE'!AJ8="",8000000000000000+ROW(),'🧪 INVENTAIRE'!AJ8*100000+ROW()))</f>
        <v>4736900007</v>
      </c>
      <c r="B7" s="0" t="str">
        <f aca="false">IF(AND('🧪 INVENTAIRE'!B8&lt;&gt;"",'🧪 INVENTAIRE'!BC8&lt;&gt;""),ROW('🧪 INVENTAIRE'!B8),"")</f>
        <v/>
      </c>
      <c r="C7" s="0" t="n">
        <f aca="false">IF('🧪 INVENTAIRE'!B8="","",N('🧪 INVENTAIRE'!O8)+ROW()/1000000)</f>
        <v>12.000007</v>
      </c>
      <c r="E7" s="0" t="s">
        <v>865</v>
      </c>
      <c r="F7" s="0" t="n">
        <f aca="false">COUNTIF(Inv_Pictos,"GHS06*")</f>
        <v>0</v>
      </c>
      <c r="H7" s="0" t="str">
        <f aca="false">'⚙️ PARAMÈTRES'!$B$10</f>
        <v>Local groupe électrogène</v>
      </c>
      <c r="I7" s="0" t="n">
        <f aca="false">COUNTIFS(Inv_Atelier,$H7,Inv_StatutFDS,I$1)</f>
        <v>1</v>
      </c>
      <c r="J7" s="0" t="n">
        <f aca="false">COUNTIFS(Inv_Atelier,$H7,Inv_StatutFDS,J$1)</f>
        <v>0</v>
      </c>
      <c r="K7" s="0" t="n">
        <f aca="false">COUNTIFS(Inv_Atelier,$H7,Inv_StatutFDS,K$1)</f>
        <v>0</v>
      </c>
      <c r="L7" s="0" t="n">
        <f aca="false">COUNTIFS(Inv_Atelier,$H7,Inv_StatutFDS,L$1)</f>
        <v>0</v>
      </c>
      <c r="Q7" s="0" t="n">
        <f aca="false">IFERROR(LARGE(CleQte,6),"")</f>
        <v>100.000006</v>
      </c>
      <c r="R7" s="0" t="str">
        <f aca="false">IF($Q7="","",INDEX(Inv_Nom,MATCH($Q7,CleQte,0))&amp;" ("&amp;INDEX(Inv_Unite,MATCH($Q7,CleQte,0))&amp;")")</f>
        <v>Eau de Javel 9,6 % (L)</v>
      </c>
      <c r="S7" s="96" t="n">
        <f aca="false">IF($Q7="","",INDEX(Inv_Qte,MATCH($Q7,CleQte,0)))</f>
        <v>100</v>
      </c>
      <c r="U7" s="88" t="s">
        <v>866</v>
      </c>
      <c r="V7" s="97" t="n">
        <v>0.68</v>
      </c>
    </row>
    <row r="8" customFormat="false" ht="15" hidden="false" customHeight="false" outlineLevel="0" collapsed="false">
      <c r="A8" s="0" t="n">
        <f aca="false">IF('🧪 INVENTAIRE'!B9="",9000000000000000,IF('🧪 INVENTAIRE'!AJ9="",8000000000000000+ROW(),'🧪 INVENTAIRE'!AJ9*100000+ROW()))</f>
        <v>4684600008</v>
      </c>
      <c r="B8" s="0" t="str">
        <f aca="false">IF(AND('🧪 INVENTAIRE'!B9&lt;&gt;"",'🧪 INVENTAIRE'!BC9&lt;&gt;""),ROW('🧪 INVENTAIRE'!B9),"")</f>
        <v/>
      </c>
      <c r="C8" s="0" t="n">
        <f aca="false">IF('🧪 INVENTAIRE'!B9="","",N('🧪 INVENTAIRE'!O9)+ROW()/1000000)</f>
        <v>120.000008</v>
      </c>
      <c r="E8" s="0" t="s">
        <v>867</v>
      </c>
      <c r="F8" s="0" t="n">
        <f aca="false">COUNTIF(Inv_Pictos,"GHS07*")</f>
        <v>11</v>
      </c>
      <c r="H8" s="0" t="str">
        <f aca="false">'⚙️ PARAMÈTRES'!$B$11</f>
        <v>Véhicules d'intervention</v>
      </c>
      <c r="I8" s="0" t="n">
        <f aca="false">COUNTIFS(Inv_Atelier,$H8,Inv_StatutFDS,I$1)</f>
        <v>1</v>
      </c>
      <c r="J8" s="0" t="n">
        <f aca="false">COUNTIFS(Inv_Atelier,$H8,Inv_StatutFDS,J$1)</f>
        <v>0</v>
      </c>
      <c r="K8" s="0" t="n">
        <f aca="false">COUNTIFS(Inv_Atelier,$H8,Inv_StatutFDS,K$1)</f>
        <v>0</v>
      </c>
      <c r="L8" s="0" t="n">
        <f aca="false">COUNTIFS(Inv_Atelier,$H8,Inv_StatutFDS,L$1)</f>
        <v>0</v>
      </c>
      <c r="Q8" s="0" t="n">
        <f aca="false">IFERROR(LARGE(CleQte,7),"")</f>
        <v>80.000005</v>
      </c>
      <c r="R8" s="0" t="str">
        <f aca="false">IF($Q8="","",INDEX(Inv_Nom,MATCH($Q8,CleQte,0))&amp;" ("&amp;INDEX(Inv_Unite,MATCH($Q8,CleQte,0))&amp;")")</f>
        <v>Huile de coupe soluble (L)</v>
      </c>
      <c r="S8" s="96" t="n">
        <f aca="false">IF($Q8="","",INDEX(Inv_Qte,MATCH($Q8,CleQte,0)))</f>
        <v>80</v>
      </c>
      <c r="U8" s="88" t="s">
        <v>868</v>
      </c>
      <c r="V8" s="97" t="n">
        <f aca="false">TauxConformite</f>
        <v>0.7</v>
      </c>
    </row>
    <row r="9" customFormat="false" ht="15" hidden="false" customHeight="false" outlineLevel="0" collapsed="false">
      <c r="A9" s="0" t="n">
        <f aca="false">IF('🧪 INVENTAIRE'!B10="",9000000000000000,IF('🧪 INVENTAIRE'!AJ10="",8000000000000000+ROW(),'🧪 INVENTAIRE'!AJ10*100000+ROW()))</f>
        <v>4580200009</v>
      </c>
      <c r="B9" s="0" t="n">
        <f aca="false">IF(AND('🧪 INVENTAIRE'!B10&lt;&gt;"",'🧪 INVENTAIRE'!BC10&lt;&gt;""),ROW('🧪 INVENTAIRE'!B10),"")</f>
        <v>10</v>
      </c>
      <c r="C9" s="0" t="n">
        <f aca="false">IF('🧪 INVENTAIRE'!B10="","",N('🧪 INVENTAIRE'!O10)+ROW()/1000000)</f>
        <v>30.000009</v>
      </c>
      <c r="E9" s="0" t="s">
        <v>869</v>
      </c>
      <c r="F9" s="0" t="n">
        <f aca="false">COUNTIF(Inv_Pictos,"GHS08*")</f>
        <v>4</v>
      </c>
      <c r="H9" s="0" t="str">
        <f aca="false">'⚙️ PARAMÈTRES'!$B$12</f>
        <v>Zone déchets</v>
      </c>
      <c r="I9" s="0" t="n">
        <f aca="false">COUNTIFS(Inv_Atelier,$H9,Inv_StatutFDS,I$1)</f>
        <v>0</v>
      </c>
      <c r="J9" s="0" t="n">
        <f aca="false">COUNTIFS(Inv_Atelier,$H9,Inv_StatutFDS,J$1)</f>
        <v>0</v>
      </c>
      <c r="K9" s="0" t="n">
        <f aca="false">COUNTIFS(Inv_Atelier,$H9,Inv_StatutFDS,K$1)</f>
        <v>0</v>
      </c>
      <c r="L9" s="0" t="n">
        <f aca="false">COUNTIFS(Inv_Atelier,$H9,Inv_StatutFDS,L$1)</f>
        <v>0</v>
      </c>
      <c r="Q9" s="0" t="n">
        <f aca="false">IFERROR(LARGE(CleQte,8),"")</f>
        <v>60.000011</v>
      </c>
      <c r="R9" s="0" t="str">
        <f aca="false">IF($Q9="","",INDEX(Inv_Nom,MATCH($Q9,CleQte,0))&amp;" ("&amp;INDEX(Inv_Unite,MATCH($Q9,CleQte,0))&amp;")")</f>
        <v>Dégraissant solvanté DS-40 (L)</v>
      </c>
      <c r="S9" s="96" t="n">
        <f aca="false">IF($Q9="","",INDEX(Inv_Qte,MATCH($Q9,CleQte,0)))</f>
        <v>60</v>
      </c>
      <c r="U9" s="88" t="s">
        <v>870</v>
      </c>
    </row>
    <row r="10" customFormat="false" ht="15" hidden="false" customHeight="false" outlineLevel="0" collapsed="false">
      <c r="A10" s="0" t="n">
        <f aca="false">IF('🧪 INVENTAIRE'!B11="",9000000000000000,IF('🧪 INVENTAIRE'!AJ11="",8000000000000000+ROW(),'🧪 INVENTAIRE'!AJ11*100000+ROW()))</f>
        <v>4740900010</v>
      </c>
      <c r="B10" s="0" t="str">
        <f aca="false">IF(AND('🧪 INVENTAIRE'!B11&lt;&gt;"",'🧪 INVENTAIRE'!BC11&lt;&gt;""),ROW('🧪 INVENTAIRE'!B11),"")</f>
        <v/>
      </c>
      <c r="C10" s="0" t="n">
        <f aca="false">IF('🧪 INVENTAIRE'!B11="","",N('🧪 INVENTAIRE'!O11)+ROW()/1000000)</f>
        <v>50.00001</v>
      </c>
      <c r="E10" s="0" t="s">
        <v>871</v>
      </c>
      <c r="F10" s="0" t="n">
        <f aca="false">COUNTIF(Inv_Pictos,"GHS09*")</f>
        <v>5</v>
      </c>
      <c r="Q10" s="0" t="n">
        <f aca="false">IFERROR(LARGE(CleQte,9),"")</f>
        <v>60.000003</v>
      </c>
      <c r="R10" s="0" t="str">
        <f aca="false">IF($Q10="","",INDEX(Inv_Nom,MATCH($Q10,CleQte,0))&amp;" ("&amp;INDEX(Inv_Unite,MATCH($Q10,CleQte,0))&amp;")")</f>
        <v>Soude caustique 30 % (kg)</v>
      </c>
      <c r="S10" s="96" t="n">
        <f aca="false">IF($Q10="","",INDEX(Inv_Qte,MATCH($Q10,CleQte,0)))</f>
        <v>60</v>
      </c>
      <c r="U10" s="88" t="s">
        <v>872</v>
      </c>
    </row>
    <row r="11" customFormat="false" ht="15" hidden="false" customHeight="false" outlineLevel="0" collapsed="false">
      <c r="A11" s="0" t="n">
        <f aca="false">IF('🧪 INVENTAIRE'!B12="",9000000000000000,IF('🧪 INVENTAIRE'!AJ12="",8000000000000000+ROW(),'🧪 INVENTAIRE'!AJ12*100000+ROW()))</f>
        <v>8000000000000011</v>
      </c>
      <c r="B11" s="0" t="n">
        <f aca="false">IF(AND('🧪 INVENTAIRE'!B12&lt;&gt;"",'🧪 INVENTAIRE'!BC12&lt;&gt;""),ROW('🧪 INVENTAIRE'!B12),"")</f>
        <v>12</v>
      </c>
      <c r="C11" s="0" t="n">
        <f aca="false">IF('🧪 INVENTAIRE'!B12="","",N('🧪 INVENTAIRE'!O12)+ROW()/1000000)</f>
        <v>60.000011</v>
      </c>
      <c r="Q11" s="0" t="n">
        <f aca="false">IFERROR(LARGE(CleQte,10),"")</f>
        <v>50.00001</v>
      </c>
      <c r="R11" s="0" t="str">
        <f aca="false">IF($Q11="","",INDEX(Inv_Nom,MATCH($Q11,CleQte,0))&amp;" ("&amp;INDEX(Inv_Unite,MATCH($Q11,CleQte,0))&amp;")")</f>
        <v>Mastic silicone neutre (cartouche(s))</v>
      </c>
      <c r="S11" s="96" t="n">
        <f aca="false">IF($Q11="","",INDEX(Inv_Qte,MATCH($Q11,CleQte,0)))</f>
        <v>50</v>
      </c>
      <c r="U11" s="88" t="s">
        <v>873</v>
      </c>
    </row>
    <row r="12" customFormat="false" ht="15" hidden="false" customHeight="false" outlineLevel="0" collapsed="false">
      <c r="A12" s="0" t="n">
        <f aca="false">IF('🧪 INVENTAIRE'!B13="",9000000000000000,IF('🧪 INVENTAIRE'!AJ13="",8000000000000000+ROW(),'🧪 INVENTAIRE'!AJ13*100000+ROW()))</f>
        <v>4714800012</v>
      </c>
      <c r="B12" s="0" t="str">
        <f aca="false">IF(AND('🧪 INVENTAIRE'!B13&lt;&gt;"",'🧪 INVENTAIRE'!BC13&lt;&gt;""),ROW('🧪 INVENTAIRE'!B13),"")</f>
        <v/>
      </c>
      <c r="C12" s="0" t="n">
        <f aca="false">IF('🧪 INVENTAIRE'!B13="","",N('🧪 INVENTAIRE'!O13)+ROW()/1000000)</f>
        <v>400.000012</v>
      </c>
      <c r="U12" s="0" t="s">
        <v>874</v>
      </c>
    </row>
    <row r="13" customFormat="false" ht="15" hidden="false" customHeight="false" outlineLevel="0" collapsed="false">
      <c r="A13" s="0" t="n">
        <f aca="false">IF('🧪 INVENTAIRE'!B14="",9000000000000000,IF('🧪 INVENTAIRE'!AJ14="",8000000000000000+ROW(),'🧪 INVENTAIRE'!AJ14*100000+ROW()))</f>
        <v>4625600013</v>
      </c>
      <c r="B13" s="0" t="str">
        <f aca="false">IF(AND('🧪 INVENTAIRE'!B14&lt;&gt;"",'🧪 INVENTAIRE'!BC14&lt;&gt;""),ROW('🧪 INVENTAIRE'!B14),"")</f>
        <v/>
      </c>
      <c r="C13" s="0" t="n">
        <f aca="false">IF('🧪 INVENTAIRE'!B14="","",N('🧪 INVENTAIRE'!O14)+ROW()/1000000)</f>
        <v>200.000013</v>
      </c>
      <c r="U13" s="0" t="s">
        <v>875</v>
      </c>
    </row>
    <row r="14" customFormat="false" ht="15" hidden="false" customHeight="false" outlineLevel="0" collapsed="false">
      <c r="A14" s="0" t="n">
        <f aca="false">IF('🧪 INVENTAIRE'!B15="",9000000000000000,IF('🧪 INVENTAIRE'!AJ15="",8000000000000000+ROW(),'🧪 INVENTAIRE'!AJ15*100000+ROW()))</f>
        <v>4646000014</v>
      </c>
      <c r="B14" s="0" t="str">
        <f aca="false">IF(AND('🧪 INVENTAIRE'!B15&lt;&gt;"",'🧪 INVENTAIRE'!BC15&lt;&gt;""),ROW('🧪 INVENTAIRE'!B15),"")</f>
        <v/>
      </c>
      <c r="C14" s="0" t="n">
        <f aca="false">IF('🧪 INVENTAIRE'!B15="","",N('🧪 INVENTAIRE'!O15)+ROW()/1000000)</f>
        <v>30.000014</v>
      </c>
    </row>
    <row r="15" customFormat="false" ht="15" hidden="false" customHeight="false" outlineLevel="0" collapsed="false">
      <c r="A15" s="0" t="n">
        <f aca="false">IF('🧪 INVENTAIRE'!B16="",9000000000000000,IF('🧪 INVENTAIRE'!AJ16="",8000000000000000+ROW(),'🧪 INVENTAIRE'!AJ16*100000+ROW()))</f>
        <v>4599300015</v>
      </c>
      <c r="B15" s="0" t="n">
        <f aca="false">IF(AND('🧪 INVENTAIRE'!B16&lt;&gt;"",'🧪 INVENTAIRE'!BC16&lt;&gt;""),ROW('🧪 INVENTAIRE'!B16),"")</f>
        <v>16</v>
      </c>
      <c r="C15" s="0" t="n">
        <f aca="false">IF('🧪 INVENTAIRE'!B16="","",N('🧪 INVENTAIRE'!O16)+ROW()/1000000)</f>
        <v>35.000015</v>
      </c>
      <c r="U15" s="98" t="s">
        <v>876</v>
      </c>
    </row>
    <row r="16" customFormat="false" ht="15" hidden="false" customHeight="false" outlineLevel="0" collapsed="false">
      <c r="A16" s="0" t="n">
        <f aca="false">IF('🧪 INVENTAIRE'!B17="",9000000000000000,IF('🧪 INVENTAIRE'!AJ17="",8000000000000000+ROW(),'🧪 INVENTAIRE'!AJ17*100000+ROW()))</f>
        <v>4767300016</v>
      </c>
      <c r="B16" s="0" t="str">
        <f aca="false">IF(AND('🧪 INVENTAIRE'!B17&lt;&gt;"",'🧪 INVENTAIRE'!BC17&lt;&gt;""),ROW('🧪 INVENTAIRE'!B17),"")</f>
        <v/>
      </c>
      <c r="C16" s="0" t="n">
        <f aca="false">IF('🧪 INVENTAIRE'!B17="","",N('🧪 INVENTAIRE'!O17)+ROW()/1000000)</f>
        <v>25.000016</v>
      </c>
    </row>
    <row r="17" customFormat="false" ht="15" hidden="false" customHeight="false" outlineLevel="0" collapsed="false">
      <c r="A17" s="0" t="n">
        <f aca="false">IF('🧪 INVENTAIRE'!B18="",9000000000000000,IF('🧪 INVENTAIRE'!AJ18="",8000000000000000+ROW(),'🧪 INVENTAIRE'!AJ18*100000+ROW()))</f>
        <v>4764500017</v>
      </c>
      <c r="B17" s="0" t="str">
        <f aca="false">IF(AND('🧪 INVENTAIRE'!B18&lt;&gt;"",'🧪 INVENTAIRE'!BC18&lt;&gt;""),ROW('🧪 INVENTAIRE'!B18),"")</f>
        <v/>
      </c>
      <c r="C17" s="0" t="n">
        <f aca="false">IF('🧪 INVENTAIRE'!B18="","",N('🧪 INVENTAIRE'!O18)+ROW()/1000000)</f>
        <v>20.000017</v>
      </c>
    </row>
    <row r="18" customFormat="false" ht="15" hidden="false" customHeight="false" outlineLevel="0" collapsed="false">
      <c r="A18" s="0" t="n">
        <f aca="false">IF('🧪 INVENTAIRE'!B19="",9000000000000000,IF('🧪 INVENTAIRE'!AJ19="",8000000000000000+ROW(),'🧪 INVENTAIRE'!AJ19*100000+ROW()))</f>
        <v>4702300018</v>
      </c>
      <c r="B18" s="0" t="str">
        <f aca="false">IF(AND('🧪 INVENTAIRE'!B19&lt;&gt;"",'🧪 INVENTAIRE'!BC19&lt;&gt;""),ROW('🧪 INVENTAIRE'!B19),"")</f>
        <v/>
      </c>
      <c r="C18" s="0" t="n">
        <f aca="false">IF('🧪 INVENTAIRE'!B19="","",N('🧪 INVENTAIRE'!O19)+ROW()/1000000)</f>
        <v>120.000018</v>
      </c>
    </row>
    <row r="19" customFormat="false" ht="15" hidden="false" customHeight="false" outlineLevel="0" collapsed="false">
      <c r="A19" s="0" t="n">
        <f aca="false">IF('🧪 INVENTAIRE'!B20="",9000000000000000,IF('🧪 INVENTAIRE'!AJ20="",8000000000000000+ROW(),'🧪 INVENTAIRE'!AJ20*100000+ROW()))</f>
        <v>8000000000000019</v>
      </c>
      <c r="B19" s="0" t="n">
        <f aca="false">IF(AND('🧪 INVENTAIRE'!B20&lt;&gt;"",'🧪 INVENTAIRE'!BC20&lt;&gt;""),ROW('🧪 INVENTAIRE'!B20),"")</f>
        <v>20</v>
      </c>
      <c r="C19" s="0" t="n">
        <f aca="false">IF('🧪 INVENTAIRE'!B20="","",N('🧪 INVENTAIRE'!O20)+ROW()/1000000)</f>
        <v>10.000019</v>
      </c>
    </row>
    <row r="20" customFormat="false" ht="15" hidden="false" customHeight="false" outlineLevel="0" collapsed="false">
      <c r="A20" s="0" t="n">
        <f aca="false">IF('🧪 INVENTAIRE'!B21="",9000000000000000,IF('🧪 INVENTAIRE'!AJ21="",8000000000000000+ROW(),'🧪 INVENTAIRE'!AJ21*100000+ROW()))</f>
        <v>4722700020</v>
      </c>
      <c r="B20" s="0" t="n">
        <f aca="false">IF(AND('🧪 INVENTAIRE'!B21&lt;&gt;"",'🧪 INVENTAIRE'!BC21&lt;&gt;""),ROW('🧪 INVENTAIRE'!B21),"")</f>
        <v>21</v>
      </c>
      <c r="C20" s="0" t="n">
        <f aca="false">IF('🧪 INVENTAIRE'!B21="","",N('🧪 INVENTAIRE'!O21)+ROW()/1000000)</f>
        <v>15.00002</v>
      </c>
    </row>
    <row r="21" customFormat="false" ht="15" hidden="false" customHeight="false" outlineLevel="0" collapsed="false">
      <c r="A21" s="0" t="n">
        <f aca="false">IF('🧪 INVENTAIRE'!B22="",9000000000000000,IF('🧪 INVENTAIRE'!AJ22="",8000000000000000+ROW(),'🧪 INVENTAIRE'!AJ22*100000+ROW()))</f>
        <v>4748900021</v>
      </c>
      <c r="B21" s="0" t="str">
        <f aca="false">IF(AND('🧪 INVENTAIRE'!B22&lt;&gt;"",'🧪 INVENTAIRE'!BC22&lt;&gt;""),ROW('🧪 INVENTAIRE'!B22),"")</f>
        <v/>
      </c>
      <c r="C21" s="0" t="n">
        <f aca="false">IF('🧪 INVENTAIRE'!B22="","",N('🧪 INVENTAIRE'!O22)+ROW()/1000000)</f>
        <v>1000.000021</v>
      </c>
    </row>
    <row r="22" customFormat="false" ht="15" hidden="false" customHeight="false" outlineLevel="0" collapsed="false">
      <c r="A22" s="0" t="n">
        <f aca="false">IF('🧪 INVENTAIRE'!B23="",9000000000000000,IF('🧪 INVENTAIRE'!AJ23="",8000000000000000+ROW(),'🧪 INVENTAIRE'!AJ23*100000+ROW()))</f>
        <v>9000000000000000</v>
      </c>
      <c r="B22" s="0" t="str">
        <f aca="false">IF(AND('🧪 INVENTAIRE'!B23&lt;&gt;"",'🧪 INVENTAIRE'!BC23&lt;&gt;""),ROW('🧪 INVENTAIRE'!B23),"")</f>
        <v/>
      </c>
      <c r="C22" s="0" t="str">
        <f aca="false">IF('🧪 INVENTAIRE'!B23="","",N('🧪 INVENTAIRE'!O23)+ROW()/1000000)</f>
        <v/>
      </c>
    </row>
    <row r="23" customFormat="false" ht="15" hidden="false" customHeight="false" outlineLevel="0" collapsed="false">
      <c r="A23" s="0" t="n">
        <f aca="false">IF('🧪 INVENTAIRE'!B24="",9000000000000000,IF('🧪 INVENTAIRE'!AJ24="",8000000000000000+ROW(),'🧪 INVENTAIRE'!AJ24*100000+ROW()))</f>
        <v>9000000000000000</v>
      </c>
      <c r="B23" s="0" t="str">
        <f aca="false">IF(AND('🧪 INVENTAIRE'!B24&lt;&gt;"",'🧪 INVENTAIRE'!BC24&lt;&gt;""),ROW('🧪 INVENTAIRE'!B24),"")</f>
        <v/>
      </c>
      <c r="C23" s="0" t="str">
        <f aca="false">IF('🧪 INVENTAIRE'!B24="","",N('🧪 INVENTAIRE'!O24)+ROW()/1000000)</f>
        <v/>
      </c>
    </row>
    <row r="24" customFormat="false" ht="15" hidden="false" customHeight="false" outlineLevel="0" collapsed="false">
      <c r="A24" s="0" t="n">
        <f aca="false">IF('🧪 INVENTAIRE'!B25="",9000000000000000,IF('🧪 INVENTAIRE'!AJ25="",8000000000000000+ROW(),'🧪 INVENTAIRE'!AJ25*100000+ROW()))</f>
        <v>9000000000000000</v>
      </c>
      <c r="B24" s="0" t="str">
        <f aca="false">IF(AND('🧪 INVENTAIRE'!B25&lt;&gt;"",'🧪 INVENTAIRE'!BC25&lt;&gt;""),ROW('🧪 INVENTAIRE'!B25),"")</f>
        <v/>
      </c>
      <c r="C24" s="0" t="str">
        <f aca="false">IF('🧪 INVENTAIRE'!B25="","",N('🧪 INVENTAIRE'!O25)+ROW()/1000000)</f>
        <v/>
      </c>
    </row>
    <row r="25" customFormat="false" ht="15" hidden="false" customHeight="false" outlineLevel="0" collapsed="false">
      <c r="A25" s="0" t="n">
        <f aca="false">IF('🧪 INVENTAIRE'!B26="",9000000000000000,IF('🧪 INVENTAIRE'!AJ26="",8000000000000000+ROW(),'🧪 INVENTAIRE'!AJ26*100000+ROW()))</f>
        <v>9000000000000000</v>
      </c>
      <c r="B25" s="0" t="str">
        <f aca="false">IF(AND('🧪 INVENTAIRE'!B26&lt;&gt;"",'🧪 INVENTAIRE'!BC26&lt;&gt;""),ROW('🧪 INVENTAIRE'!B26),"")</f>
        <v/>
      </c>
      <c r="C25" s="0" t="str">
        <f aca="false">IF('🧪 INVENTAIRE'!B26="","",N('🧪 INVENTAIRE'!O26)+ROW()/1000000)</f>
        <v/>
      </c>
    </row>
    <row r="26" customFormat="false" ht="15" hidden="false" customHeight="false" outlineLevel="0" collapsed="false">
      <c r="A26" s="0" t="n">
        <f aca="false">IF('🧪 INVENTAIRE'!B27="",9000000000000000,IF('🧪 INVENTAIRE'!AJ27="",8000000000000000+ROW(),'🧪 INVENTAIRE'!AJ27*100000+ROW()))</f>
        <v>9000000000000000</v>
      </c>
      <c r="B26" s="0" t="str">
        <f aca="false">IF(AND('🧪 INVENTAIRE'!B27&lt;&gt;"",'🧪 INVENTAIRE'!BC27&lt;&gt;""),ROW('🧪 INVENTAIRE'!B27),"")</f>
        <v/>
      </c>
      <c r="C26" s="0" t="str">
        <f aca="false">IF('🧪 INVENTAIRE'!B27="","",N('🧪 INVENTAIRE'!O27)+ROW()/1000000)</f>
        <v/>
      </c>
    </row>
    <row r="27" customFormat="false" ht="15" hidden="false" customHeight="false" outlineLevel="0" collapsed="false">
      <c r="A27" s="0" t="n">
        <f aca="false">IF('🧪 INVENTAIRE'!B28="",9000000000000000,IF('🧪 INVENTAIRE'!AJ28="",8000000000000000+ROW(),'🧪 INVENTAIRE'!AJ28*100000+ROW()))</f>
        <v>9000000000000000</v>
      </c>
      <c r="B27" s="0" t="str">
        <f aca="false">IF(AND('🧪 INVENTAIRE'!B28&lt;&gt;"",'🧪 INVENTAIRE'!BC28&lt;&gt;""),ROW('🧪 INVENTAIRE'!B28),"")</f>
        <v/>
      </c>
      <c r="C27" s="0" t="str">
        <f aca="false">IF('🧪 INVENTAIRE'!B28="","",N('🧪 INVENTAIRE'!O28)+ROW()/1000000)</f>
        <v/>
      </c>
    </row>
    <row r="28" customFormat="false" ht="15" hidden="false" customHeight="false" outlineLevel="0" collapsed="false">
      <c r="A28" s="0" t="n">
        <f aca="false">IF('🧪 INVENTAIRE'!B29="",9000000000000000,IF('🧪 INVENTAIRE'!AJ29="",8000000000000000+ROW(),'🧪 INVENTAIRE'!AJ29*100000+ROW()))</f>
        <v>9000000000000000</v>
      </c>
      <c r="B28" s="0" t="str">
        <f aca="false">IF(AND('🧪 INVENTAIRE'!B29&lt;&gt;"",'🧪 INVENTAIRE'!BC29&lt;&gt;""),ROW('🧪 INVENTAIRE'!B29),"")</f>
        <v/>
      </c>
      <c r="C28" s="0" t="str">
        <f aca="false">IF('🧪 INVENTAIRE'!B29="","",N('🧪 INVENTAIRE'!O29)+ROW()/1000000)</f>
        <v/>
      </c>
    </row>
    <row r="29" customFormat="false" ht="15" hidden="false" customHeight="false" outlineLevel="0" collapsed="false">
      <c r="A29" s="0" t="n">
        <f aca="false">IF('🧪 INVENTAIRE'!B30="",9000000000000000,IF('🧪 INVENTAIRE'!AJ30="",8000000000000000+ROW(),'🧪 INVENTAIRE'!AJ30*100000+ROW()))</f>
        <v>9000000000000000</v>
      </c>
      <c r="B29" s="0" t="str">
        <f aca="false">IF(AND('🧪 INVENTAIRE'!B30&lt;&gt;"",'🧪 INVENTAIRE'!BC30&lt;&gt;""),ROW('🧪 INVENTAIRE'!B30),"")</f>
        <v/>
      </c>
      <c r="C29" s="0" t="str">
        <f aca="false">IF('🧪 INVENTAIRE'!B30="","",N('🧪 INVENTAIRE'!O30)+ROW()/1000000)</f>
        <v/>
      </c>
    </row>
    <row r="30" customFormat="false" ht="15" hidden="false" customHeight="false" outlineLevel="0" collapsed="false">
      <c r="A30" s="0" t="n">
        <f aca="false">IF('🧪 INVENTAIRE'!B31="",9000000000000000,IF('🧪 INVENTAIRE'!AJ31="",8000000000000000+ROW(),'🧪 INVENTAIRE'!AJ31*100000+ROW()))</f>
        <v>9000000000000000</v>
      </c>
      <c r="B30" s="0" t="str">
        <f aca="false">IF(AND('🧪 INVENTAIRE'!B31&lt;&gt;"",'🧪 INVENTAIRE'!BC31&lt;&gt;""),ROW('🧪 INVENTAIRE'!B31),"")</f>
        <v/>
      </c>
      <c r="C30" s="0" t="str">
        <f aca="false">IF('🧪 INVENTAIRE'!B31="","",N('🧪 INVENTAIRE'!O31)+ROW()/1000000)</f>
        <v/>
      </c>
    </row>
    <row r="31" customFormat="false" ht="15" hidden="false" customHeight="false" outlineLevel="0" collapsed="false">
      <c r="A31" s="0" t="n">
        <f aca="false">IF('🧪 INVENTAIRE'!B32="",9000000000000000,IF('🧪 INVENTAIRE'!AJ32="",8000000000000000+ROW(),'🧪 INVENTAIRE'!AJ32*100000+ROW()))</f>
        <v>9000000000000000</v>
      </c>
      <c r="B31" s="0" t="str">
        <f aca="false">IF(AND('🧪 INVENTAIRE'!B32&lt;&gt;"",'🧪 INVENTAIRE'!BC32&lt;&gt;""),ROW('🧪 INVENTAIRE'!B32),"")</f>
        <v/>
      </c>
      <c r="C31" s="0" t="str">
        <f aca="false">IF('🧪 INVENTAIRE'!B32="","",N('🧪 INVENTAIRE'!O32)+ROW()/1000000)</f>
        <v/>
      </c>
    </row>
    <row r="32" customFormat="false" ht="15" hidden="false" customHeight="false" outlineLevel="0" collapsed="false">
      <c r="A32" s="0" t="n">
        <f aca="false">IF('🧪 INVENTAIRE'!B33="",9000000000000000,IF('🧪 INVENTAIRE'!AJ33="",8000000000000000+ROW(),'🧪 INVENTAIRE'!AJ33*100000+ROW()))</f>
        <v>9000000000000000</v>
      </c>
      <c r="B32" s="0" t="str">
        <f aca="false">IF(AND('🧪 INVENTAIRE'!B33&lt;&gt;"",'🧪 INVENTAIRE'!BC33&lt;&gt;""),ROW('🧪 INVENTAIRE'!B33),"")</f>
        <v/>
      </c>
      <c r="C32" s="0" t="str">
        <f aca="false">IF('🧪 INVENTAIRE'!B33="","",N('🧪 INVENTAIRE'!O33)+ROW()/1000000)</f>
        <v/>
      </c>
    </row>
    <row r="33" customFormat="false" ht="15" hidden="false" customHeight="false" outlineLevel="0" collapsed="false">
      <c r="A33" s="0" t="n">
        <f aca="false">IF('🧪 INVENTAIRE'!B34="",9000000000000000,IF('🧪 INVENTAIRE'!AJ34="",8000000000000000+ROW(),'🧪 INVENTAIRE'!AJ34*100000+ROW()))</f>
        <v>9000000000000000</v>
      </c>
      <c r="B33" s="0" t="str">
        <f aca="false">IF(AND('🧪 INVENTAIRE'!B34&lt;&gt;"",'🧪 INVENTAIRE'!BC34&lt;&gt;""),ROW('🧪 INVENTAIRE'!B34),"")</f>
        <v/>
      </c>
      <c r="C33" s="0" t="str">
        <f aca="false">IF('🧪 INVENTAIRE'!B34="","",N('🧪 INVENTAIRE'!O34)+ROW()/1000000)</f>
        <v/>
      </c>
    </row>
    <row r="34" customFormat="false" ht="15" hidden="false" customHeight="false" outlineLevel="0" collapsed="false">
      <c r="A34" s="0" t="n">
        <f aca="false">IF('🧪 INVENTAIRE'!B35="",9000000000000000,IF('🧪 INVENTAIRE'!AJ35="",8000000000000000+ROW(),'🧪 INVENTAIRE'!AJ35*100000+ROW()))</f>
        <v>9000000000000000</v>
      </c>
      <c r="B34" s="0" t="str">
        <f aca="false">IF(AND('🧪 INVENTAIRE'!B35&lt;&gt;"",'🧪 INVENTAIRE'!BC35&lt;&gt;""),ROW('🧪 INVENTAIRE'!B35),"")</f>
        <v/>
      </c>
      <c r="C34" s="0" t="str">
        <f aca="false">IF('🧪 INVENTAIRE'!B35="","",N('🧪 INVENTAIRE'!O35)+ROW()/1000000)</f>
        <v/>
      </c>
    </row>
    <row r="35" customFormat="false" ht="15" hidden="false" customHeight="false" outlineLevel="0" collapsed="false">
      <c r="A35" s="0" t="n">
        <f aca="false">IF('🧪 INVENTAIRE'!B36="",9000000000000000,IF('🧪 INVENTAIRE'!AJ36="",8000000000000000+ROW(),'🧪 INVENTAIRE'!AJ36*100000+ROW()))</f>
        <v>9000000000000000</v>
      </c>
      <c r="B35" s="0" t="str">
        <f aca="false">IF(AND('🧪 INVENTAIRE'!B36&lt;&gt;"",'🧪 INVENTAIRE'!BC36&lt;&gt;""),ROW('🧪 INVENTAIRE'!B36),"")</f>
        <v/>
      </c>
      <c r="C35" s="0" t="str">
        <f aca="false">IF('🧪 INVENTAIRE'!B36="","",N('🧪 INVENTAIRE'!O36)+ROW()/1000000)</f>
        <v/>
      </c>
    </row>
    <row r="36" customFormat="false" ht="15" hidden="false" customHeight="false" outlineLevel="0" collapsed="false">
      <c r="A36" s="0" t="n">
        <f aca="false">IF('🧪 INVENTAIRE'!B37="",9000000000000000,IF('🧪 INVENTAIRE'!AJ37="",8000000000000000+ROW(),'🧪 INVENTAIRE'!AJ37*100000+ROW()))</f>
        <v>9000000000000000</v>
      </c>
      <c r="B36" s="0" t="str">
        <f aca="false">IF(AND('🧪 INVENTAIRE'!B37&lt;&gt;"",'🧪 INVENTAIRE'!BC37&lt;&gt;""),ROW('🧪 INVENTAIRE'!B37),"")</f>
        <v/>
      </c>
      <c r="C36" s="0" t="str">
        <f aca="false">IF('🧪 INVENTAIRE'!B37="","",N('🧪 INVENTAIRE'!O37)+ROW()/1000000)</f>
        <v/>
      </c>
    </row>
    <row r="37" customFormat="false" ht="15" hidden="false" customHeight="false" outlineLevel="0" collapsed="false">
      <c r="A37" s="0" t="n">
        <f aca="false">IF('🧪 INVENTAIRE'!B38="",9000000000000000,IF('🧪 INVENTAIRE'!AJ38="",8000000000000000+ROW(),'🧪 INVENTAIRE'!AJ38*100000+ROW()))</f>
        <v>9000000000000000</v>
      </c>
      <c r="B37" s="0" t="str">
        <f aca="false">IF(AND('🧪 INVENTAIRE'!B38&lt;&gt;"",'🧪 INVENTAIRE'!BC38&lt;&gt;""),ROW('🧪 INVENTAIRE'!B38),"")</f>
        <v/>
      </c>
      <c r="C37" s="0" t="str">
        <f aca="false">IF('🧪 INVENTAIRE'!B38="","",N('🧪 INVENTAIRE'!O38)+ROW()/1000000)</f>
        <v/>
      </c>
    </row>
    <row r="38" customFormat="false" ht="15" hidden="false" customHeight="false" outlineLevel="0" collapsed="false">
      <c r="A38" s="0" t="n">
        <f aca="false">IF('🧪 INVENTAIRE'!B39="",9000000000000000,IF('🧪 INVENTAIRE'!AJ39="",8000000000000000+ROW(),'🧪 INVENTAIRE'!AJ39*100000+ROW()))</f>
        <v>9000000000000000</v>
      </c>
      <c r="B38" s="0" t="str">
        <f aca="false">IF(AND('🧪 INVENTAIRE'!B39&lt;&gt;"",'🧪 INVENTAIRE'!BC39&lt;&gt;""),ROW('🧪 INVENTAIRE'!B39),"")</f>
        <v/>
      </c>
      <c r="C38" s="0" t="str">
        <f aca="false">IF('🧪 INVENTAIRE'!B39="","",N('🧪 INVENTAIRE'!O39)+ROW()/1000000)</f>
        <v/>
      </c>
    </row>
    <row r="39" customFormat="false" ht="15" hidden="false" customHeight="false" outlineLevel="0" collapsed="false">
      <c r="A39" s="0" t="n">
        <f aca="false">IF('🧪 INVENTAIRE'!B40="",9000000000000000,IF('🧪 INVENTAIRE'!AJ40="",8000000000000000+ROW(),'🧪 INVENTAIRE'!AJ40*100000+ROW()))</f>
        <v>9000000000000000</v>
      </c>
      <c r="B39" s="0" t="str">
        <f aca="false">IF(AND('🧪 INVENTAIRE'!B40&lt;&gt;"",'🧪 INVENTAIRE'!BC40&lt;&gt;""),ROW('🧪 INVENTAIRE'!B40),"")</f>
        <v/>
      </c>
      <c r="C39" s="0" t="str">
        <f aca="false">IF('🧪 INVENTAIRE'!B40="","",N('🧪 INVENTAIRE'!O40)+ROW()/1000000)</f>
        <v/>
      </c>
    </row>
    <row r="40" customFormat="false" ht="15" hidden="false" customHeight="false" outlineLevel="0" collapsed="false">
      <c r="A40" s="0" t="n">
        <f aca="false">IF('🧪 INVENTAIRE'!B41="",9000000000000000,IF('🧪 INVENTAIRE'!AJ41="",8000000000000000+ROW(),'🧪 INVENTAIRE'!AJ41*100000+ROW()))</f>
        <v>9000000000000000</v>
      </c>
      <c r="B40" s="0" t="str">
        <f aca="false">IF(AND('🧪 INVENTAIRE'!B41&lt;&gt;"",'🧪 INVENTAIRE'!BC41&lt;&gt;""),ROW('🧪 INVENTAIRE'!B41),"")</f>
        <v/>
      </c>
      <c r="C40" s="0" t="str">
        <f aca="false">IF('🧪 INVENTAIRE'!B41="","",N('🧪 INVENTAIRE'!O41)+ROW()/1000000)</f>
        <v/>
      </c>
    </row>
    <row r="41" customFormat="false" ht="15" hidden="false" customHeight="false" outlineLevel="0" collapsed="false">
      <c r="A41" s="0" t="n">
        <f aca="false">IF('🧪 INVENTAIRE'!B42="",9000000000000000,IF('🧪 INVENTAIRE'!AJ42="",8000000000000000+ROW(),'🧪 INVENTAIRE'!AJ42*100000+ROW()))</f>
        <v>9000000000000000</v>
      </c>
      <c r="B41" s="0" t="str">
        <f aca="false">IF(AND('🧪 INVENTAIRE'!B42&lt;&gt;"",'🧪 INVENTAIRE'!BC42&lt;&gt;""),ROW('🧪 INVENTAIRE'!B42),"")</f>
        <v/>
      </c>
      <c r="C41" s="0" t="str">
        <f aca="false">IF('🧪 INVENTAIRE'!B42="","",N('🧪 INVENTAIRE'!O42)+ROW()/1000000)</f>
        <v/>
      </c>
    </row>
    <row r="42" customFormat="false" ht="15" hidden="false" customHeight="false" outlineLevel="0" collapsed="false">
      <c r="A42" s="0" t="n">
        <f aca="false">IF('🧪 INVENTAIRE'!B43="",9000000000000000,IF('🧪 INVENTAIRE'!AJ43="",8000000000000000+ROW(),'🧪 INVENTAIRE'!AJ43*100000+ROW()))</f>
        <v>9000000000000000</v>
      </c>
      <c r="B42" s="0" t="str">
        <f aca="false">IF(AND('🧪 INVENTAIRE'!B43&lt;&gt;"",'🧪 INVENTAIRE'!BC43&lt;&gt;""),ROW('🧪 INVENTAIRE'!B43),"")</f>
        <v/>
      </c>
      <c r="C42" s="0" t="str">
        <f aca="false">IF('🧪 INVENTAIRE'!B43="","",N('🧪 INVENTAIRE'!O43)+ROW()/1000000)</f>
        <v/>
      </c>
    </row>
    <row r="43" customFormat="false" ht="15" hidden="false" customHeight="false" outlineLevel="0" collapsed="false">
      <c r="A43" s="0" t="n">
        <f aca="false">IF('🧪 INVENTAIRE'!B44="",9000000000000000,IF('🧪 INVENTAIRE'!AJ44="",8000000000000000+ROW(),'🧪 INVENTAIRE'!AJ44*100000+ROW()))</f>
        <v>9000000000000000</v>
      </c>
      <c r="B43" s="0" t="str">
        <f aca="false">IF(AND('🧪 INVENTAIRE'!B44&lt;&gt;"",'🧪 INVENTAIRE'!BC44&lt;&gt;""),ROW('🧪 INVENTAIRE'!B44),"")</f>
        <v/>
      </c>
      <c r="C43" s="0" t="str">
        <f aca="false">IF('🧪 INVENTAIRE'!B44="","",N('🧪 INVENTAIRE'!O44)+ROW()/1000000)</f>
        <v/>
      </c>
    </row>
    <row r="44" customFormat="false" ht="15" hidden="false" customHeight="false" outlineLevel="0" collapsed="false">
      <c r="A44" s="0" t="n">
        <f aca="false">IF('🧪 INVENTAIRE'!B45="",9000000000000000,IF('🧪 INVENTAIRE'!AJ45="",8000000000000000+ROW(),'🧪 INVENTAIRE'!AJ45*100000+ROW()))</f>
        <v>9000000000000000</v>
      </c>
      <c r="B44" s="0" t="str">
        <f aca="false">IF(AND('🧪 INVENTAIRE'!B45&lt;&gt;"",'🧪 INVENTAIRE'!BC45&lt;&gt;""),ROW('🧪 INVENTAIRE'!B45),"")</f>
        <v/>
      </c>
      <c r="C44" s="0" t="str">
        <f aca="false">IF('🧪 INVENTAIRE'!B45="","",N('🧪 INVENTAIRE'!O45)+ROW()/1000000)</f>
        <v/>
      </c>
    </row>
    <row r="45" customFormat="false" ht="15" hidden="false" customHeight="false" outlineLevel="0" collapsed="false">
      <c r="A45" s="0" t="n">
        <f aca="false">IF('🧪 INVENTAIRE'!B46="",9000000000000000,IF('🧪 INVENTAIRE'!AJ46="",8000000000000000+ROW(),'🧪 INVENTAIRE'!AJ46*100000+ROW()))</f>
        <v>9000000000000000</v>
      </c>
      <c r="B45" s="0" t="str">
        <f aca="false">IF(AND('🧪 INVENTAIRE'!B46&lt;&gt;"",'🧪 INVENTAIRE'!BC46&lt;&gt;""),ROW('🧪 INVENTAIRE'!B46),"")</f>
        <v/>
      </c>
      <c r="C45" s="0" t="str">
        <f aca="false">IF('🧪 INVENTAIRE'!B46="","",N('🧪 INVENTAIRE'!O46)+ROW()/1000000)</f>
        <v/>
      </c>
    </row>
    <row r="46" customFormat="false" ht="15" hidden="false" customHeight="false" outlineLevel="0" collapsed="false">
      <c r="A46" s="0" t="n">
        <f aca="false">IF('🧪 INVENTAIRE'!B47="",9000000000000000,IF('🧪 INVENTAIRE'!AJ47="",8000000000000000+ROW(),'🧪 INVENTAIRE'!AJ47*100000+ROW()))</f>
        <v>9000000000000000</v>
      </c>
      <c r="B46" s="0" t="str">
        <f aca="false">IF(AND('🧪 INVENTAIRE'!B47&lt;&gt;"",'🧪 INVENTAIRE'!BC47&lt;&gt;""),ROW('🧪 INVENTAIRE'!B47),"")</f>
        <v/>
      </c>
      <c r="C46" s="0" t="str">
        <f aca="false">IF('🧪 INVENTAIRE'!B47="","",N('🧪 INVENTAIRE'!O47)+ROW()/1000000)</f>
        <v/>
      </c>
    </row>
    <row r="47" customFormat="false" ht="15" hidden="false" customHeight="false" outlineLevel="0" collapsed="false">
      <c r="A47" s="0" t="n">
        <f aca="false">IF('🧪 INVENTAIRE'!B48="",9000000000000000,IF('🧪 INVENTAIRE'!AJ48="",8000000000000000+ROW(),'🧪 INVENTAIRE'!AJ48*100000+ROW()))</f>
        <v>9000000000000000</v>
      </c>
      <c r="B47" s="0" t="str">
        <f aca="false">IF(AND('🧪 INVENTAIRE'!B48&lt;&gt;"",'🧪 INVENTAIRE'!BC48&lt;&gt;""),ROW('🧪 INVENTAIRE'!B48),"")</f>
        <v/>
      </c>
      <c r="C47" s="0" t="str">
        <f aca="false">IF('🧪 INVENTAIRE'!B48="","",N('🧪 INVENTAIRE'!O48)+ROW()/1000000)</f>
        <v/>
      </c>
    </row>
    <row r="48" customFormat="false" ht="15" hidden="false" customHeight="false" outlineLevel="0" collapsed="false">
      <c r="A48" s="0" t="n">
        <f aca="false">IF('🧪 INVENTAIRE'!B49="",9000000000000000,IF('🧪 INVENTAIRE'!AJ49="",8000000000000000+ROW(),'🧪 INVENTAIRE'!AJ49*100000+ROW()))</f>
        <v>9000000000000000</v>
      </c>
      <c r="B48" s="0" t="str">
        <f aca="false">IF(AND('🧪 INVENTAIRE'!B49&lt;&gt;"",'🧪 INVENTAIRE'!BC49&lt;&gt;""),ROW('🧪 INVENTAIRE'!B49),"")</f>
        <v/>
      </c>
      <c r="C48" s="0" t="str">
        <f aca="false">IF('🧪 INVENTAIRE'!B49="","",N('🧪 INVENTAIRE'!O49)+ROW()/1000000)</f>
        <v/>
      </c>
    </row>
    <row r="49" customFormat="false" ht="15" hidden="false" customHeight="false" outlineLevel="0" collapsed="false">
      <c r="A49" s="0" t="n">
        <f aca="false">IF('🧪 INVENTAIRE'!B50="",9000000000000000,IF('🧪 INVENTAIRE'!AJ50="",8000000000000000+ROW(),'🧪 INVENTAIRE'!AJ50*100000+ROW()))</f>
        <v>9000000000000000</v>
      </c>
      <c r="B49" s="0" t="str">
        <f aca="false">IF(AND('🧪 INVENTAIRE'!B50&lt;&gt;"",'🧪 INVENTAIRE'!BC50&lt;&gt;""),ROW('🧪 INVENTAIRE'!B50),"")</f>
        <v/>
      </c>
      <c r="C49" s="0" t="str">
        <f aca="false">IF('🧪 INVENTAIRE'!B50="","",N('🧪 INVENTAIRE'!O50)+ROW()/1000000)</f>
        <v/>
      </c>
    </row>
    <row r="50" customFormat="false" ht="15" hidden="false" customHeight="false" outlineLevel="0" collapsed="false">
      <c r="A50" s="0" t="n">
        <f aca="false">IF('🧪 INVENTAIRE'!B51="",9000000000000000,IF('🧪 INVENTAIRE'!AJ51="",8000000000000000+ROW(),'🧪 INVENTAIRE'!AJ51*100000+ROW()))</f>
        <v>9000000000000000</v>
      </c>
      <c r="B50" s="0" t="str">
        <f aca="false">IF(AND('🧪 INVENTAIRE'!B51&lt;&gt;"",'🧪 INVENTAIRE'!BC51&lt;&gt;""),ROW('🧪 INVENTAIRE'!B51),"")</f>
        <v/>
      </c>
      <c r="C50" s="0" t="str">
        <f aca="false">IF('🧪 INVENTAIRE'!B51="","",N('🧪 INVENTAIRE'!O51)+ROW()/1000000)</f>
        <v/>
      </c>
    </row>
    <row r="51" customFormat="false" ht="15" hidden="false" customHeight="false" outlineLevel="0" collapsed="false">
      <c r="A51" s="0" t="n">
        <f aca="false">IF('🧪 INVENTAIRE'!B52="",9000000000000000,IF('🧪 INVENTAIRE'!AJ52="",8000000000000000+ROW(),'🧪 INVENTAIRE'!AJ52*100000+ROW()))</f>
        <v>9000000000000000</v>
      </c>
      <c r="B51" s="0" t="str">
        <f aca="false">IF(AND('🧪 INVENTAIRE'!B52&lt;&gt;"",'🧪 INVENTAIRE'!BC52&lt;&gt;""),ROW('🧪 INVENTAIRE'!B52),"")</f>
        <v/>
      </c>
      <c r="C51" s="0" t="str">
        <f aca="false">IF('🧪 INVENTAIRE'!B52="","",N('🧪 INVENTAIRE'!O52)+ROW()/1000000)</f>
        <v/>
      </c>
    </row>
    <row r="52" customFormat="false" ht="15" hidden="false" customHeight="false" outlineLevel="0" collapsed="false">
      <c r="A52" s="0" t="n">
        <f aca="false">IF('🧪 INVENTAIRE'!B53="",9000000000000000,IF('🧪 INVENTAIRE'!AJ53="",8000000000000000+ROW(),'🧪 INVENTAIRE'!AJ53*100000+ROW()))</f>
        <v>9000000000000000</v>
      </c>
      <c r="B52" s="0" t="str">
        <f aca="false">IF(AND('🧪 INVENTAIRE'!B53&lt;&gt;"",'🧪 INVENTAIRE'!BC53&lt;&gt;""),ROW('🧪 INVENTAIRE'!B53),"")</f>
        <v/>
      </c>
      <c r="C52" s="0" t="str">
        <f aca="false">IF('🧪 INVENTAIRE'!B53="","",N('🧪 INVENTAIRE'!O53)+ROW()/1000000)</f>
        <v/>
      </c>
    </row>
    <row r="53" customFormat="false" ht="15" hidden="false" customHeight="false" outlineLevel="0" collapsed="false">
      <c r="A53" s="0" t="n">
        <f aca="false">IF('🧪 INVENTAIRE'!B54="",9000000000000000,IF('🧪 INVENTAIRE'!AJ54="",8000000000000000+ROW(),'🧪 INVENTAIRE'!AJ54*100000+ROW()))</f>
        <v>9000000000000000</v>
      </c>
      <c r="B53" s="0" t="str">
        <f aca="false">IF(AND('🧪 INVENTAIRE'!B54&lt;&gt;"",'🧪 INVENTAIRE'!BC54&lt;&gt;""),ROW('🧪 INVENTAIRE'!B54),"")</f>
        <v/>
      </c>
      <c r="C53" s="0" t="str">
        <f aca="false">IF('🧪 INVENTAIRE'!B54="","",N('🧪 INVENTAIRE'!O54)+ROW()/1000000)</f>
        <v/>
      </c>
    </row>
    <row r="54" customFormat="false" ht="15" hidden="false" customHeight="false" outlineLevel="0" collapsed="false">
      <c r="A54" s="0" t="n">
        <f aca="false">IF('🧪 INVENTAIRE'!B55="",9000000000000000,IF('🧪 INVENTAIRE'!AJ55="",8000000000000000+ROW(),'🧪 INVENTAIRE'!AJ55*100000+ROW()))</f>
        <v>9000000000000000</v>
      </c>
      <c r="B54" s="0" t="str">
        <f aca="false">IF(AND('🧪 INVENTAIRE'!B55&lt;&gt;"",'🧪 INVENTAIRE'!BC55&lt;&gt;""),ROW('🧪 INVENTAIRE'!B55),"")</f>
        <v/>
      </c>
      <c r="C54" s="0" t="str">
        <f aca="false">IF('🧪 INVENTAIRE'!B55="","",N('🧪 INVENTAIRE'!O55)+ROW()/1000000)</f>
        <v/>
      </c>
    </row>
    <row r="55" customFormat="false" ht="15" hidden="false" customHeight="false" outlineLevel="0" collapsed="false">
      <c r="A55" s="0" t="n">
        <f aca="false">IF('🧪 INVENTAIRE'!B56="",9000000000000000,IF('🧪 INVENTAIRE'!AJ56="",8000000000000000+ROW(),'🧪 INVENTAIRE'!AJ56*100000+ROW()))</f>
        <v>9000000000000000</v>
      </c>
      <c r="B55" s="0" t="str">
        <f aca="false">IF(AND('🧪 INVENTAIRE'!B56&lt;&gt;"",'🧪 INVENTAIRE'!BC56&lt;&gt;""),ROW('🧪 INVENTAIRE'!B56),"")</f>
        <v/>
      </c>
      <c r="C55" s="0" t="str">
        <f aca="false">IF('🧪 INVENTAIRE'!B56="","",N('🧪 INVENTAIRE'!O56)+ROW()/1000000)</f>
        <v/>
      </c>
    </row>
    <row r="56" customFormat="false" ht="15" hidden="false" customHeight="false" outlineLevel="0" collapsed="false">
      <c r="A56" s="0" t="n">
        <f aca="false">IF('🧪 INVENTAIRE'!B57="",9000000000000000,IF('🧪 INVENTAIRE'!AJ57="",8000000000000000+ROW(),'🧪 INVENTAIRE'!AJ57*100000+ROW()))</f>
        <v>9000000000000000</v>
      </c>
      <c r="B56" s="0" t="str">
        <f aca="false">IF(AND('🧪 INVENTAIRE'!B57&lt;&gt;"",'🧪 INVENTAIRE'!BC57&lt;&gt;""),ROW('🧪 INVENTAIRE'!B57),"")</f>
        <v/>
      </c>
      <c r="C56" s="0" t="str">
        <f aca="false">IF('🧪 INVENTAIRE'!B57="","",N('🧪 INVENTAIRE'!O57)+ROW()/1000000)</f>
        <v/>
      </c>
    </row>
    <row r="57" customFormat="false" ht="15" hidden="false" customHeight="false" outlineLevel="0" collapsed="false">
      <c r="A57" s="0" t="n">
        <f aca="false">IF('🧪 INVENTAIRE'!B58="",9000000000000000,IF('🧪 INVENTAIRE'!AJ58="",8000000000000000+ROW(),'🧪 INVENTAIRE'!AJ58*100000+ROW()))</f>
        <v>9000000000000000</v>
      </c>
      <c r="B57" s="0" t="str">
        <f aca="false">IF(AND('🧪 INVENTAIRE'!B58&lt;&gt;"",'🧪 INVENTAIRE'!BC58&lt;&gt;""),ROW('🧪 INVENTAIRE'!B58),"")</f>
        <v/>
      </c>
      <c r="C57" s="0" t="str">
        <f aca="false">IF('🧪 INVENTAIRE'!B58="","",N('🧪 INVENTAIRE'!O58)+ROW()/1000000)</f>
        <v/>
      </c>
    </row>
    <row r="58" customFormat="false" ht="15" hidden="false" customHeight="false" outlineLevel="0" collapsed="false">
      <c r="A58" s="0" t="n">
        <f aca="false">IF('🧪 INVENTAIRE'!B59="",9000000000000000,IF('🧪 INVENTAIRE'!AJ59="",8000000000000000+ROW(),'🧪 INVENTAIRE'!AJ59*100000+ROW()))</f>
        <v>9000000000000000</v>
      </c>
      <c r="B58" s="0" t="str">
        <f aca="false">IF(AND('🧪 INVENTAIRE'!B59&lt;&gt;"",'🧪 INVENTAIRE'!BC59&lt;&gt;""),ROW('🧪 INVENTAIRE'!B59),"")</f>
        <v/>
      </c>
      <c r="C58" s="0" t="str">
        <f aca="false">IF('🧪 INVENTAIRE'!B59="","",N('🧪 INVENTAIRE'!O59)+ROW()/1000000)</f>
        <v/>
      </c>
    </row>
    <row r="59" customFormat="false" ht="15" hidden="false" customHeight="false" outlineLevel="0" collapsed="false">
      <c r="A59" s="0" t="n">
        <f aca="false">IF('🧪 INVENTAIRE'!B60="",9000000000000000,IF('🧪 INVENTAIRE'!AJ60="",8000000000000000+ROW(),'🧪 INVENTAIRE'!AJ60*100000+ROW()))</f>
        <v>9000000000000000</v>
      </c>
      <c r="B59" s="0" t="str">
        <f aca="false">IF(AND('🧪 INVENTAIRE'!B60&lt;&gt;"",'🧪 INVENTAIRE'!BC60&lt;&gt;""),ROW('🧪 INVENTAIRE'!B60),"")</f>
        <v/>
      </c>
      <c r="C59" s="0" t="str">
        <f aca="false">IF('🧪 INVENTAIRE'!B60="","",N('🧪 INVENTAIRE'!O60)+ROW()/1000000)</f>
        <v/>
      </c>
    </row>
    <row r="60" customFormat="false" ht="15" hidden="false" customHeight="false" outlineLevel="0" collapsed="false">
      <c r="A60" s="0" t="n">
        <f aca="false">IF('🧪 INVENTAIRE'!B61="",9000000000000000,IF('🧪 INVENTAIRE'!AJ61="",8000000000000000+ROW(),'🧪 INVENTAIRE'!AJ61*100000+ROW()))</f>
        <v>9000000000000000</v>
      </c>
      <c r="B60" s="0" t="str">
        <f aca="false">IF(AND('🧪 INVENTAIRE'!B61&lt;&gt;"",'🧪 INVENTAIRE'!BC61&lt;&gt;""),ROW('🧪 INVENTAIRE'!B61),"")</f>
        <v/>
      </c>
      <c r="C60" s="0" t="str">
        <f aca="false">IF('🧪 INVENTAIRE'!B61="","",N('🧪 INVENTAIRE'!O61)+ROW()/1000000)</f>
        <v/>
      </c>
    </row>
    <row r="61" customFormat="false" ht="15" hidden="false" customHeight="false" outlineLevel="0" collapsed="false">
      <c r="A61" s="0" t="n">
        <f aca="false">IF('🧪 INVENTAIRE'!B62="",9000000000000000,IF('🧪 INVENTAIRE'!AJ62="",8000000000000000+ROW(),'🧪 INVENTAIRE'!AJ62*100000+ROW()))</f>
        <v>9000000000000000</v>
      </c>
      <c r="B61" s="0" t="str">
        <f aca="false">IF(AND('🧪 INVENTAIRE'!B62&lt;&gt;"",'🧪 INVENTAIRE'!BC62&lt;&gt;""),ROW('🧪 INVENTAIRE'!B62),"")</f>
        <v/>
      </c>
      <c r="C61" s="0" t="str">
        <f aca="false">IF('🧪 INVENTAIRE'!B62="","",N('🧪 INVENTAIRE'!O62)+ROW()/1000000)</f>
        <v/>
      </c>
    </row>
    <row r="62" customFormat="false" ht="15" hidden="false" customHeight="false" outlineLevel="0" collapsed="false">
      <c r="A62" s="0" t="n">
        <f aca="false">IF('🧪 INVENTAIRE'!B63="",9000000000000000,IF('🧪 INVENTAIRE'!AJ63="",8000000000000000+ROW(),'🧪 INVENTAIRE'!AJ63*100000+ROW()))</f>
        <v>9000000000000000</v>
      </c>
      <c r="B62" s="0" t="str">
        <f aca="false">IF(AND('🧪 INVENTAIRE'!B63&lt;&gt;"",'🧪 INVENTAIRE'!BC63&lt;&gt;""),ROW('🧪 INVENTAIRE'!B63),"")</f>
        <v/>
      </c>
      <c r="C62" s="0" t="str">
        <f aca="false">IF('🧪 INVENTAIRE'!B63="","",N('🧪 INVENTAIRE'!O63)+ROW()/1000000)</f>
        <v/>
      </c>
    </row>
    <row r="63" customFormat="false" ht="15" hidden="false" customHeight="false" outlineLevel="0" collapsed="false">
      <c r="A63" s="0" t="n">
        <f aca="false">IF('🧪 INVENTAIRE'!B64="",9000000000000000,IF('🧪 INVENTAIRE'!AJ64="",8000000000000000+ROW(),'🧪 INVENTAIRE'!AJ64*100000+ROW()))</f>
        <v>9000000000000000</v>
      </c>
      <c r="B63" s="0" t="str">
        <f aca="false">IF(AND('🧪 INVENTAIRE'!B64&lt;&gt;"",'🧪 INVENTAIRE'!BC64&lt;&gt;""),ROW('🧪 INVENTAIRE'!B64),"")</f>
        <v/>
      </c>
      <c r="C63" s="0" t="str">
        <f aca="false">IF('🧪 INVENTAIRE'!B64="","",N('🧪 INVENTAIRE'!O64)+ROW()/1000000)</f>
        <v/>
      </c>
    </row>
    <row r="64" customFormat="false" ht="15" hidden="false" customHeight="false" outlineLevel="0" collapsed="false">
      <c r="A64" s="0" t="n">
        <f aca="false">IF('🧪 INVENTAIRE'!B65="",9000000000000000,IF('🧪 INVENTAIRE'!AJ65="",8000000000000000+ROW(),'🧪 INVENTAIRE'!AJ65*100000+ROW()))</f>
        <v>9000000000000000</v>
      </c>
      <c r="B64" s="0" t="str">
        <f aca="false">IF(AND('🧪 INVENTAIRE'!B65&lt;&gt;"",'🧪 INVENTAIRE'!BC65&lt;&gt;""),ROW('🧪 INVENTAIRE'!B65),"")</f>
        <v/>
      </c>
      <c r="C64" s="0" t="str">
        <f aca="false">IF('🧪 INVENTAIRE'!B65="","",N('🧪 INVENTAIRE'!O65)+ROW()/1000000)</f>
        <v/>
      </c>
    </row>
    <row r="65" customFormat="false" ht="15" hidden="false" customHeight="false" outlineLevel="0" collapsed="false">
      <c r="A65" s="0" t="n">
        <f aca="false">IF('🧪 INVENTAIRE'!B66="",9000000000000000,IF('🧪 INVENTAIRE'!AJ66="",8000000000000000+ROW(),'🧪 INVENTAIRE'!AJ66*100000+ROW()))</f>
        <v>9000000000000000</v>
      </c>
      <c r="B65" s="0" t="str">
        <f aca="false">IF(AND('🧪 INVENTAIRE'!B66&lt;&gt;"",'🧪 INVENTAIRE'!BC66&lt;&gt;""),ROW('🧪 INVENTAIRE'!B66),"")</f>
        <v/>
      </c>
      <c r="C65" s="0" t="str">
        <f aca="false">IF('🧪 INVENTAIRE'!B66="","",N('🧪 INVENTAIRE'!O66)+ROW()/1000000)</f>
        <v/>
      </c>
    </row>
    <row r="66" customFormat="false" ht="15" hidden="false" customHeight="false" outlineLevel="0" collapsed="false">
      <c r="A66" s="0" t="n">
        <f aca="false">IF('🧪 INVENTAIRE'!B67="",9000000000000000,IF('🧪 INVENTAIRE'!AJ67="",8000000000000000+ROW(),'🧪 INVENTAIRE'!AJ67*100000+ROW()))</f>
        <v>9000000000000000</v>
      </c>
      <c r="B66" s="0" t="str">
        <f aca="false">IF(AND('🧪 INVENTAIRE'!B67&lt;&gt;"",'🧪 INVENTAIRE'!BC67&lt;&gt;""),ROW('🧪 INVENTAIRE'!B67),"")</f>
        <v/>
      </c>
      <c r="C66" s="0" t="str">
        <f aca="false">IF('🧪 INVENTAIRE'!B67="","",N('🧪 INVENTAIRE'!O67)+ROW()/1000000)</f>
        <v/>
      </c>
    </row>
    <row r="67" customFormat="false" ht="15" hidden="false" customHeight="false" outlineLevel="0" collapsed="false">
      <c r="A67" s="0" t="n">
        <f aca="false">IF('🧪 INVENTAIRE'!B68="",9000000000000000,IF('🧪 INVENTAIRE'!AJ68="",8000000000000000+ROW(),'🧪 INVENTAIRE'!AJ68*100000+ROW()))</f>
        <v>9000000000000000</v>
      </c>
      <c r="B67" s="0" t="str">
        <f aca="false">IF(AND('🧪 INVENTAIRE'!B68&lt;&gt;"",'🧪 INVENTAIRE'!BC68&lt;&gt;""),ROW('🧪 INVENTAIRE'!B68),"")</f>
        <v/>
      </c>
      <c r="C67" s="0" t="str">
        <f aca="false">IF('🧪 INVENTAIRE'!B68="","",N('🧪 INVENTAIRE'!O68)+ROW()/1000000)</f>
        <v/>
      </c>
    </row>
    <row r="68" customFormat="false" ht="15" hidden="false" customHeight="false" outlineLevel="0" collapsed="false">
      <c r="A68" s="0" t="n">
        <f aca="false">IF('🧪 INVENTAIRE'!B69="",9000000000000000,IF('🧪 INVENTAIRE'!AJ69="",8000000000000000+ROW(),'🧪 INVENTAIRE'!AJ69*100000+ROW()))</f>
        <v>9000000000000000</v>
      </c>
      <c r="B68" s="0" t="str">
        <f aca="false">IF(AND('🧪 INVENTAIRE'!B69&lt;&gt;"",'🧪 INVENTAIRE'!BC69&lt;&gt;""),ROW('🧪 INVENTAIRE'!B69),"")</f>
        <v/>
      </c>
      <c r="C68" s="0" t="str">
        <f aca="false">IF('🧪 INVENTAIRE'!B69="","",N('🧪 INVENTAIRE'!O69)+ROW()/1000000)</f>
        <v/>
      </c>
    </row>
    <row r="69" customFormat="false" ht="15" hidden="false" customHeight="false" outlineLevel="0" collapsed="false">
      <c r="A69" s="0" t="n">
        <f aca="false">IF('🧪 INVENTAIRE'!B70="",9000000000000000,IF('🧪 INVENTAIRE'!AJ70="",8000000000000000+ROW(),'🧪 INVENTAIRE'!AJ70*100000+ROW()))</f>
        <v>9000000000000000</v>
      </c>
      <c r="B69" s="0" t="str">
        <f aca="false">IF(AND('🧪 INVENTAIRE'!B70&lt;&gt;"",'🧪 INVENTAIRE'!BC70&lt;&gt;""),ROW('🧪 INVENTAIRE'!B70),"")</f>
        <v/>
      </c>
      <c r="C69" s="0" t="str">
        <f aca="false">IF('🧪 INVENTAIRE'!B70="","",N('🧪 INVENTAIRE'!O70)+ROW()/1000000)</f>
        <v/>
      </c>
    </row>
    <row r="70" customFormat="false" ht="15" hidden="false" customHeight="false" outlineLevel="0" collapsed="false">
      <c r="A70" s="0" t="n">
        <f aca="false">IF('🧪 INVENTAIRE'!B71="",9000000000000000,IF('🧪 INVENTAIRE'!AJ71="",8000000000000000+ROW(),'🧪 INVENTAIRE'!AJ71*100000+ROW()))</f>
        <v>9000000000000000</v>
      </c>
      <c r="B70" s="0" t="str">
        <f aca="false">IF(AND('🧪 INVENTAIRE'!B71&lt;&gt;"",'🧪 INVENTAIRE'!BC71&lt;&gt;""),ROW('🧪 INVENTAIRE'!B71),"")</f>
        <v/>
      </c>
      <c r="C70" s="0" t="str">
        <f aca="false">IF('🧪 INVENTAIRE'!B71="","",N('🧪 INVENTAIRE'!O71)+ROW()/1000000)</f>
        <v/>
      </c>
    </row>
    <row r="71" customFormat="false" ht="15" hidden="false" customHeight="false" outlineLevel="0" collapsed="false">
      <c r="A71" s="0" t="n">
        <f aca="false">IF('🧪 INVENTAIRE'!B72="",9000000000000000,IF('🧪 INVENTAIRE'!AJ72="",8000000000000000+ROW(),'🧪 INVENTAIRE'!AJ72*100000+ROW()))</f>
        <v>9000000000000000</v>
      </c>
      <c r="B71" s="0" t="str">
        <f aca="false">IF(AND('🧪 INVENTAIRE'!B72&lt;&gt;"",'🧪 INVENTAIRE'!BC72&lt;&gt;""),ROW('🧪 INVENTAIRE'!B72),"")</f>
        <v/>
      </c>
      <c r="C71" s="0" t="str">
        <f aca="false">IF('🧪 INVENTAIRE'!B72="","",N('🧪 INVENTAIRE'!O72)+ROW()/1000000)</f>
        <v/>
      </c>
    </row>
    <row r="72" customFormat="false" ht="15" hidden="false" customHeight="false" outlineLevel="0" collapsed="false">
      <c r="A72" s="0" t="n">
        <f aca="false">IF('🧪 INVENTAIRE'!B73="",9000000000000000,IF('🧪 INVENTAIRE'!AJ73="",8000000000000000+ROW(),'🧪 INVENTAIRE'!AJ73*100000+ROW()))</f>
        <v>9000000000000000</v>
      </c>
      <c r="B72" s="0" t="str">
        <f aca="false">IF(AND('🧪 INVENTAIRE'!B73&lt;&gt;"",'🧪 INVENTAIRE'!BC73&lt;&gt;""),ROW('🧪 INVENTAIRE'!B73),"")</f>
        <v/>
      </c>
      <c r="C72" s="0" t="str">
        <f aca="false">IF('🧪 INVENTAIRE'!B73="","",N('🧪 INVENTAIRE'!O73)+ROW()/1000000)</f>
        <v/>
      </c>
    </row>
    <row r="73" customFormat="false" ht="15" hidden="false" customHeight="false" outlineLevel="0" collapsed="false">
      <c r="A73" s="0" t="n">
        <f aca="false">IF('🧪 INVENTAIRE'!B74="",9000000000000000,IF('🧪 INVENTAIRE'!AJ74="",8000000000000000+ROW(),'🧪 INVENTAIRE'!AJ74*100000+ROW()))</f>
        <v>9000000000000000</v>
      </c>
      <c r="B73" s="0" t="str">
        <f aca="false">IF(AND('🧪 INVENTAIRE'!B74&lt;&gt;"",'🧪 INVENTAIRE'!BC74&lt;&gt;""),ROW('🧪 INVENTAIRE'!B74),"")</f>
        <v/>
      </c>
      <c r="C73" s="0" t="str">
        <f aca="false">IF('🧪 INVENTAIRE'!B74="","",N('🧪 INVENTAIRE'!O74)+ROW()/1000000)</f>
        <v/>
      </c>
    </row>
    <row r="74" customFormat="false" ht="15" hidden="false" customHeight="false" outlineLevel="0" collapsed="false">
      <c r="A74" s="0" t="n">
        <f aca="false">IF('🧪 INVENTAIRE'!B75="",9000000000000000,IF('🧪 INVENTAIRE'!AJ75="",8000000000000000+ROW(),'🧪 INVENTAIRE'!AJ75*100000+ROW()))</f>
        <v>9000000000000000</v>
      </c>
      <c r="B74" s="0" t="str">
        <f aca="false">IF(AND('🧪 INVENTAIRE'!B75&lt;&gt;"",'🧪 INVENTAIRE'!BC75&lt;&gt;""),ROW('🧪 INVENTAIRE'!B75),"")</f>
        <v/>
      </c>
      <c r="C74" s="0" t="str">
        <f aca="false">IF('🧪 INVENTAIRE'!B75="","",N('🧪 INVENTAIRE'!O75)+ROW()/1000000)</f>
        <v/>
      </c>
    </row>
    <row r="75" customFormat="false" ht="15" hidden="false" customHeight="false" outlineLevel="0" collapsed="false">
      <c r="A75" s="0" t="n">
        <f aca="false">IF('🧪 INVENTAIRE'!B76="",9000000000000000,IF('🧪 INVENTAIRE'!AJ76="",8000000000000000+ROW(),'🧪 INVENTAIRE'!AJ76*100000+ROW()))</f>
        <v>9000000000000000</v>
      </c>
      <c r="B75" s="0" t="str">
        <f aca="false">IF(AND('🧪 INVENTAIRE'!B76&lt;&gt;"",'🧪 INVENTAIRE'!BC76&lt;&gt;""),ROW('🧪 INVENTAIRE'!B76),"")</f>
        <v/>
      </c>
      <c r="C75" s="0" t="str">
        <f aca="false">IF('🧪 INVENTAIRE'!B76="","",N('🧪 INVENTAIRE'!O76)+ROW()/1000000)</f>
        <v/>
      </c>
    </row>
    <row r="76" customFormat="false" ht="15" hidden="false" customHeight="false" outlineLevel="0" collapsed="false">
      <c r="A76" s="0" t="n">
        <f aca="false">IF('🧪 INVENTAIRE'!B77="",9000000000000000,IF('🧪 INVENTAIRE'!AJ77="",8000000000000000+ROW(),'🧪 INVENTAIRE'!AJ77*100000+ROW()))</f>
        <v>9000000000000000</v>
      </c>
      <c r="B76" s="0" t="str">
        <f aca="false">IF(AND('🧪 INVENTAIRE'!B77&lt;&gt;"",'🧪 INVENTAIRE'!BC77&lt;&gt;""),ROW('🧪 INVENTAIRE'!B77),"")</f>
        <v/>
      </c>
      <c r="C76" s="0" t="str">
        <f aca="false">IF('🧪 INVENTAIRE'!B77="","",N('🧪 INVENTAIRE'!O77)+ROW()/1000000)</f>
        <v/>
      </c>
    </row>
    <row r="77" customFormat="false" ht="15" hidden="false" customHeight="false" outlineLevel="0" collapsed="false">
      <c r="A77" s="0" t="n">
        <f aca="false">IF('🧪 INVENTAIRE'!B78="",9000000000000000,IF('🧪 INVENTAIRE'!AJ78="",8000000000000000+ROW(),'🧪 INVENTAIRE'!AJ78*100000+ROW()))</f>
        <v>9000000000000000</v>
      </c>
      <c r="B77" s="0" t="str">
        <f aca="false">IF(AND('🧪 INVENTAIRE'!B78&lt;&gt;"",'🧪 INVENTAIRE'!BC78&lt;&gt;""),ROW('🧪 INVENTAIRE'!B78),"")</f>
        <v/>
      </c>
      <c r="C77" s="0" t="str">
        <f aca="false">IF('🧪 INVENTAIRE'!B78="","",N('🧪 INVENTAIRE'!O78)+ROW()/1000000)</f>
        <v/>
      </c>
    </row>
    <row r="78" customFormat="false" ht="15" hidden="false" customHeight="false" outlineLevel="0" collapsed="false">
      <c r="A78" s="0" t="n">
        <f aca="false">IF('🧪 INVENTAIRE'!B79="",9000000000000000,IF('🧪 INVENTAIRE'!AJ79="",8000000000000000+ROW(),'🧪 INVENTAIRE'!AJ79*100000+ROW()))</f>
        <v>9000000000000000</v>
      </c>
      <c r="B78" s="0" t="str">
        <f aca="false">IF(AND('🧪 INVENTAIRE'!B79&lt;&gt;"",'🧪 INVENTAIRE'!BC79&lt;&gt;""),ROW('🧪 INVENTAIRE'!B79),"")</f>
        <v/>
      </c>
      <c r="C78" s="0" t="str">
        <f aca="false">IF('🧪 INVENTAIRE'!B79="","",N('🧪 INVENTAIRE'!O79)+ROW()/1000000)</f>
        <v/>
      </c>
    </row>
    <row r="79" customFormat="false" ht="15" hidden="false" customHeight="false" outlineLevel="0" collapsed="false">
      <c r="A79" s="0" t="n">
        <f aca="false">IF('🧪 INVENTAIRE'!B80="",9000000000000000,IF('🧪 INVENTAIRE'!AJ80="",8000000000000000+ROW(),'🧪 INVENTAIRE'!AJ80*100000+ROW()))</f>
        <v>9000000000000000</v>
      </c>
      <c r="B79" s="0" t="str">
        <f aca="false">IF(AND('🧪 INVENTAIRE'!B80&lt;&gt;"",'🧪 INVENTAIRE'!BC80&lt;&gt;""),ROW('🧪 INVENTAIRE'!B80),"")</f>
        <v/>
      </c>
      <c r="C79" s="0" t="str">
        <f aca="false">IF('🧪 INVENTAIRE'!B80="","",N('🧪 INVENTAIRE'!O80)+ROW()/1000000)</f>
        <v/>
      </c>
    </row>
    <row r="80" customFormat="false" ht="15" hidden="false" customHeight="false" outlineLevel="0" collapsed="false">
      <c r="A80" s="0" t="n">
        <f aca="false">IF('🧪 INVENTAIRE'!B81="",9000000000000000,IF('🧪 INVENTAIRE'!AJ81="",8000000000000000+ROW(),'🧪 INVENTAIRE'!AJ81*100000+ROW()))</f>
        <v>9000000000000000</v>
      </c>
      <c r="B80" s="0" t="str">
        <f aca="false">IF(AND('🧪 INVENTAIRE'!B81&lt;&gt;"",'🧪 INVENTAIRE'!BC81&lt;&gt;""),ROW('🧪 INVENTAIRE'!B81),"")</f>
        <v/>
      </c>
      <c r="C80" s="0" t="str">
        <f aca="false">IF('🧪 INVENTAIRE'!B81="","",N('🧪 INVENTAIRE'!O81)+ROW()/1000000)</f>
        <v/>
      </c>
    </row>
    <row r="81" customFormat="false" ht="15" hidden="false" customHeight="false" outlineLevel="0" collapsed="false">
      <c r="A81" s="0" t="n">
        <f aca="false">IF('🧪 INVENTAIRE'!B82="",9000000000000000,IF('🧪 INVENTAIRE'!AJ82="",8000000000000000+ROW(),'🧪 INVENTAIRE'!AJ82*100000+ROW()))</f>
        <v>9000000000000000</v>
      </c>
      <c r="B81" s="0" t="str">
        <f aca="false">IF(AND('🧪 INVENTAIRE'!B82&lt;&gt;"",'🧪 INVENTAIRE'!BC82&lt;&gt;""),ROW('🧪 INVENTAIRE'!B82),"")</f>
        <v/>
      </c>
      <c r="C81" s="0" t="str">
        <f aca="false">IF('🧪 INVENTAIRE'!B82="","",N('🧪 INVENTAIRE'!O82)+ROW()/1000000)</f>
        <v/>
      </c>
    </row>
    <row r="82" customFormat="false" ht="15" hidden="false" customHeight="false" outlineLevel="0" collapsed="false">
      <c r="A82" s="0" t="n">
        <f aca="false">IF('🧪 INVENTAIRE'!B83="",9000000000000000,IF('🧪 INVENTAIRE'!AJ83="",8000000000000000+ROW(),'🧪 INVENTAIRE'!AJ83*100000+ROW()))</f>
        <v>9000000000000000</v>
      </c>
      <c r="B82" s="0" t="str">
        <f aca="false">IF(AND('🧪 INVENTAIRE'!B83&lt;&gt;"",'🧪 INVENTAIRE'!BC83&lt;&gt;""),ROW('🧪 INVENTAIRE'!B83),"")</f>
        <v/>
      </c>
      <c r="C82" s="0" t="str">
        <f aca="false">IF('🧪 INVENTAIRE'!B83="","",N('🧪 INVENTAIRE'!O83)+ROW()/1000000)</f>
        <v/>
      </c>
    </row>
    <row r="83" customFormat="false" ht="15" hidden="false" customHeight="false" outlineLevel="0" collapsed="false">
      <c r="A83" s="0" t="n">
        <f aca="false">IF('🧪 INVENTAIRE'!B84="",9000000000000000,IF('🧪 INVENTAIRE'!AJ84="",8000000000000000+ROW(),'🧪 INVENTAIRE'!AJ84*100000+ROW()))</f>
        <v>9000000000000000</v>
      </c>
      <c r="B83" s="0" t="str">
        <f aca="false">IF(AND('🧪 INVENTAIRE'!B84&lt;&gt;"",'🧪 INVENTAIRE'!BC84&lt;&gt;""),ROW('🧪 INVENTAIRE'!B84),"")</f>
        <v/>
      </c>
      <c r="C83" s="0" t="str">
        <f aca="false">IF('🧪 INVENTAIRE'!B84="","",N('🧪 INVENTAIRE'!O84)+ROW()/1000000)</f>
        <v/>
      </c>
    </row>
    <row r="84" customFormat="false" ht="15" hidden="false" customHeight="false" outlineLevel="0" collapsed="false">
      <c r="A84" s="0" t="n">
        <f aca="false">IF('🧪 INVENTAIRE'!B85="",9000000000000000,IF('🧪 INVENTAIRE'!AJ85="",8000000000000000+ROW(),'🧪 INVENTAIRE'!AJ85*100000+ROW()))</f>
        <v>9000000000000000</v>
      </c>
      <c r="B84" s="0" t="str">
        <f aca="false">IF(AND('🧪 INVENTAIRE'!B85&lt;&gt;"",'🧪 INVENTAIRE'!BC85&lt;&gt;""),ROW('🧪 INVENTAIRE'!B85),"")</f>
        <v/>
      </c>
      <c r="C84" s="0" t="str">
        <f aca="false">IF('🧪 INVENTAIRE'!B85="","",N('🧪 INVENTAIRE'!O85)+ROW()/1000000)</f>
        <v/>
      </c>
    </row>
    <row r="85" customFormat="false" ht="15" hidden="false" customHeight="false" outlineLevel="0" collapsed="false">
      <c r="A85" s="0" t="n">
        <f aca="false">IF('🧪 INVENTAIRE'!B86="",9000000000000000,IF('🧪 INVENTAIRE'!AJ86="",8000000000000000+ROW(),'🧪 INVENTAIRE'!AJ86*100000+ROW()))</f>
        <v>9000000000000000</v>
      </c>
      <c r="B85" s="0" t="str">
        <f aca="false">IF(AND('🧪 INVENTAIRE'!B86&lt;&gt;"",'🧪 INVENTAIRE'!BC86&lt;&gt;""),ROW('🧪 INVENTAIRE'!B86),"")</f>
        <v/>
      </c>
      <c r="C85" s="0" t="str">
        <f aca="false">IF('🧪 INVENTAIRE'!B86="","",N('🧪 INVENTAIRE'!O86)+ROW()/1000000)</f>
        <v/>
      </c>
    </row>
    <row r="86" customFormat="false" ht="15" hidden="false" customHeight="false" outlineLevel="0" collapsed="false">
      <c r="A86" s="0" t="n">
        <f aca="false">IF('🧪 INVENTAIRE'!B87="",9000000000000000,IF('🧪 INVENTAIRE'!AJ87="",8000000000000000+ROW(),'🧪 INVENTAIRE'!AJ87*100000+ROW()))</f>
        <v>9000000000000000</v>
      </c>
      <c r="B86" s="0" t="str">
        <f aca="false">IF(AND('🧪 INVENTAIRE'!B87&lt;&gt;"",'🧪 INVENTAIRE'!BC87&lt;&gt;""),ROW('🧪 INVENTAIRE'!B87),"")</f>
        <v/>
      </c>
      <c r="C86" s="0" t="str">
        <f aca="false">IF('🧪 INVENTAIRE'!B87="","",N('🧪 INVENTAIRE'!O87)+ROW()/1000000)</f>
        <v/>
      </c>
    </row>
    <row r="87" customFormat="false" ht="15" hidden="false" customHeight="false" outlineLevel="0" collapsed="false">
      <c r="A87" s="0" t="n">
        <f aca="false">IF('🧪 INVENTAIRE'!B88="",9000000000000000,IF('🧪 INVENTAIRE'!AJ88="",8000000000000000+ROW(),'🧪 INVENTAIRE'!AJ88*100000+ROW()))</f>
        <v>9000000000000000</v>
      </c>
      <c r="B87" s="0" t="str">
        <f aca="false">IF(AND('🧪 INVENTAIRE'!B88&lt;&gt;"",'🧪 INVENTAIRE'!BC88&lt;&gt;""),ROW('🧪 INVENTAIRE'!B88),"")</f>
        <v/>
      </c>
      <c r="C87" s="0" t="str">
        <f aca="false">IF('🧪 INVENTAIRE'!B88="","",N('🧪 INVENTAIRE'!O88)+ROW()/1000000)</f>
        <v/>
      </c>
    </row>
    <row r="88" customFormat="false" ht="15" hidden="false" customHeight="false" outlineLevel="0" collapsed="false">
      <c r="A88" s="0" t="n">
        <f aca="false">IF('🧪 INVENTAIRE'!B89="",9000000000000000,IF('🧪 INVENTAIRE'!AJ89="",8000000000000000+ROW(),'🧪 INVENTAIRE'!AJ89*100000+ROW()))</f>
        <v>9000000000000000</v>
      </c>
      <c r="B88" s="0" t="str">
        <f aca="false">IF(AND('🧪 INVENTAIRE'!B89&lt;&gt;"",'🧪 INVENTAIRE'!BC89&lt;&gt;""),ROW('🧪 INVENTAIRE'!B89),"")</f>
        <v/>
      </c>
      <c r="C88" s="0" t="str">
        <f aca="false">IF('🧪 INVENTAIRE'!B89="","",N('🧪 INVENTAIRE'!O89)+ROW()/1000000)</f>
        <v/>
      </c>
    </row>
    <row r="89" customFormat="false" ht="15" hidden="false" customHeight="false" outlineLevel="0" collapsed="false">
      <c r="A89" s="0" t="n">
        <f aca="false">IF('🧪 INVENTAIRE'!B90="",9000000000000000,IF('🧪 INVENTAIRE'!AJ90="",8000000000000000+ROW(),'🧪 INVENTAIRE'!AJ90*100000+ROW()))</f>
        <v>9000000000000000</v>
      </c>
      <c r="B89" s="0" t="str">
        <f aca="false">IF(AND('🧪 INVENTAIRE'!B90&lt;&gt;"",'🧪 INVENTAIRE'!BC90&lt;&gt;""),ROW('🧪 INVENTAIRE'!B90),"")</f>
        <v/>
      </c>
      <c r="C89" s="0" t="str">
        <f aca="false">IF('🧪 INVENTAIRE'!B90="","",N('🧪 INVENTAIRE'!O90)+ROW()/1000000)</f>
        <v/>
      </c>
    </row>
    <row r="90" customFormat="false" ht="15" hidden="false" customHeight="false" outlineLevel="0" collapsed="false">
      <c r="A90" s="0" t="n">
        <f aca="false">IF('🧪 INVENTAIRE'!B91="",9000000000000000,IF('🧪 INVENTAIRE'!AJ91="",8000000000000000+ROW(),'🧪 INVENTAIRE'!AJ91*100000+ROW()))</f>
        <v>9000000000000000</v>
      </c>
      <c r="B90" s="0" t="str">
        <f aca="false">IF(AND('🧪 INVENTAIRE'!B91&lt;&gt;"",'🧪 INVENTAIRE'!BC91&lt;&gt;""),ROW('🧪 INVENTAIRE'!B91),"")</f>
        <v/>
      </c>
      <c r="C90" s="0" t="str">
        <f aca="false">IF('🧪 INVENTAIRE'!B91="","",N('🧪 INVENTAIRE'!O91)+ROW()/1000000)</f>
        <v/>
      </c>
    </row>
    <row r="91" customFormat="false" ht="15" hidden="false" customHeight="false" outlineLevel="0" collapsed="false">
      <c r="A91" s="0" t="n">
        <f aca="false">IF('🧪 INVENTAIRE'!B92="",9000000000000000,IF('🧪 INVENTAIRE'!AJ92="",8000000000000000+ROW(),'🧪 INVENTAIRE'!AJ92*100000+ROW()))</f>
        <v>9000000000000000</v>
      </c>
      <c r="B91" s="0" t="str">
        <f aca="false">IF(AND('🧪 INVENTAIRE'!B92&lt;&gt;"",'🧪 INVENTAIRE'!BC92&lt;&gt;""),ROW('🧪 INVENTAIRE'!B92),"")</f>
        <v/>
      </c>
      <c r="C91" s="0" t="str">
        <f aca="false">IF('🧪 INVENTAIRE'!B92="","",N('🧪 INVENTAIRE'!O92)+ROW()/1000000)</f>
        <v/>
      </c>
    </row>
    <row r="92" customFormat="false" ht="15" hidden="false" customHeight="false" outlineLevel="0" collapsed="false">
      <c r="A92" s="0" t="n">
        <f aca="false">IF('🧪 INVENTAIRE'!B93="",9000000000000000,IF('🧪 INVENTAIRE'!AJ93="",8000000000000000+ROW(),'🧪 INVENTAIRE'!AJ93*100000+ROW()))</f>
        <v>9000000000000000</v>
      </c>
      <c r="B92" s="0" t="str">
        <f aca="false">IF(AND('🧪 INVENTAIRE'!B93&lt;&gt;"",'🧪 INVENTAIRE'!BC93&lt;&gt;""),ROW('🧪 INVENTAIRE'!B93),"")</f>
        <v/>
      </c>
      <c r="C92" s="0" t="str">
        <f aca="false">IF('🧪 INVENTAIRE'!B93="","",N('🧪 INVENTAIRE'!O93)+ROW()/1000000)</f>
        <v/>
      </c>
    </row>
    <row r="93" customFormat="false" ht="15" hidden="false" customHeight="false" outlineLevel="0" collapsed="false">
      <c r="A93" s="0" t="n">
        <f aca="false">IF('🧪 INVENTAIRE'!B94="",9000000000000000,IF('🧪 INVENTAIRE'!AJ94="",8000000000000000+ROW(),'🧪 INVENTAIRE'!AJ94*100000+ROW()))</f>
        <v>9000000000000000</v>
      </c>
      <c r="B93" s="0" t="str">
        <f aca="false">IF(AND('🧪 INVENTAIRE'!B94&lt;&gt;"",'🧪 INVENTAIRE'!BC94&lt;&gt;""),ROW('🧪 INVENTAIRE'!B94),"")</f>
        <v/>
      </c>
      <c r="C93" s="0" t="str">
        <f aca="false">IF('🧪 INVENTAIRE'!B94="","",N('🧪 INVENTAIRE'!O94)+ROW()/1000000)</f>
        <v/>
      </c>
    </row>
    <row r="94" customFormat="false" ht="15" hidden="false" customHeight="false" outlineLevel="0" collapsed="false">
      <c r="A94" s="0" t="n">
        <f aca="false">IF('🧪 INVENTAIRE'!B95="",9000000000000000,IF('🧪 INVENTAIRE'!AJ95="",8000000000000000+ROW(),'🧪 INVENTAIRE'!AJ95*100000+ROW()))</f>
        <v>9000000000000000</v>
      </c>
      <c r="B94" s="0" t="str">
        <f aca="false">IF(AND('🧪 INVENTAIRE'!B95&lt;&gt;"",'🧪 INVENTAIRE'!BC95&lt;&gt;""),ROW('🧪 INVENTAIRE'!B95),"")</f>
        <v/>
      </c>
      <c r="C94" s="0" t="str">
        <f aca="false">IF('🧪 INVENTAIRE'!B95="","",N('🧪 INVENTAIRE'!O95)+ROW()/1000000)</f>
        <v/>
      </c>
    </row>
    <row r="95" customFormat="false" ht="15" hidden="false" customHeight="false" outlineLevel="0" collapsed="false">
      <c r="A95" s="0" t="n">
        <f aca="false">IF('🧪 INVENTAIRE'!B96="",9000000000000000,IF('🧪 INVENTAIRE'!AJ96="",8000000000000000+ROW(),'🧪 INVENTAIRE'!AJ96*100000+ROW()))</f>
        <v>9000000000000000</v>
      </c>
      <c r="B95" s="0" t="str">
        <f aca="false">IF(AND('🧪 INVENTAIRE'!B96&lt;&gt;"",'🧪 INVENTAIRE'!BC96&lt;&gt;""),ROW('🧪 INVENTAIRE'!B96),"")</f>
        <v/>
      </c>
      <c r="C95" s="0" t="str">
        <f aca="false">IF('🧪 INVENTAIRE'!B96="","",N('🧪 INVENTAIRE'!O96)+ROW()/1000000)</f>
        <v/>
      </c>
    </row>
    <row r="96" customFormat="false" ht="15" hidden="false" customHeight="false" outlineLevel="0" collapsed="false">
      <c r="A96" s="0" t="n">
        <f aca="false">IF('🧪 INVENTAIRE'!B97="",9000000000000000,IF('🧪 INVENTAIRE'!AJ97="",8000000000000000+ROW(),'🧪 INVENTAIRE'!AJ97*100000+ROW()))</f>
        <v>9000000000000000</v>
      </c>
      <c r="B96" s="0" t="str">
        <f aca="false">IF(AND('🧪 INVENTAIRE'!B97&lt;&gt;"",'🧪 INVENTAIRE'!BC97&lt;&gt;""),ROW('🧪 INVENTAIRE'!B97),"")</f>
        <v/>
      </c>
      <c r="C96" s="0" t="str">
        <f aca="false">IF('🧪 INVENTAIRE'!B97="","",N('🧪 INVENTAIRE'!O97)+ROW()/1000000)</f>
        <v/>
      </c>
    </row>
    <row r="97" customFormat="false" ht="15" hidden="false" customHeight="false" outlineLevel="0" collapsed="false">
      <c r="A97" s="0" t="n">
        <f aca="false">IF('🧪 INVENTAIRE'!B98="",9000000000000000,IF('🧪 INVENTAIRE'!AJ98="",8000000000000000+ROW(),'🧪 INVENTAIRE'!AJ98*100000+ROW()))</f>
        <v>9000000000000000</v>
      </c>
      <c r="B97" s="0" t="str">
        <f aca="false">IF(AND('🧪 INVENTAIRE'!B98&lt;&gt;"",'🧪 INVENTAIRE'!BC98&lt;&gt;""),ROW('🧪 INVENTAIRE'!B98),"")</f>
        <v/>
      </c>
      <c r="C97" s="0" t="str">
        <f aca="false">IF('🧪 INVENTAIRE'!B98="","",N('🧪 INVENTAIRE'!O98)+ROW()/1000000)</f>
        <v/>
      </c>
    </row>
    <row r="98" customFormat="false" ht="15" hidden="false" customHeight="false" outlineLevel="0" collapsed="false">
      <c r="A98" s="0" t="n">
        <f aca="false">IF('🧪 INVENTAIRE'!B99="",9000000000000000,IF('🧪 INVENTAIRE'!AJ99="",8000000000000000+ROW(),'🧪 INVENTAIRE'!AJ99*100000+ROW()))</f>
        <v>9000000000000000</v>
      </c>
      <c r="B98" s="0" t="str">
        <f aca="false">IF(AND('🧪 INVENTAIRE'!B99&lt;&gt;"",'🧪 INVENTAIRE'!BC99&lt;&gt;""),ROW('🧪 INVENTAIRE'!B99),"")</f>
        <v/>
      </c>
      <c r="C98" s="0" t="str">
        <f aca="false">IF('🧪 INVENTAIRE'!B99="","",N('🧪 INVENTAIRE'!O99)+ROW()/1000000)</f>
        <v/>
      </c>
    </row>
    <row r="99" customFormat="false" ht="15" hidden="false" customHeight="false" outlineLevel="0" collapsed="false">
      <c r="A99" s="0" t="n">
        <f aca="false">IF('🧪 INVENTAIRE'!B100="",9000000000000000,IF('🧪 INVENTAIRE'!AJ100="",8000000000000000+ROW(),'🧪 INVENTAIRE'!AJ100*100000+ROW()))</f>
        <v>9000000000000000</v>
      </c>
      <c r="B99" s="0" t="str">
        <f aca="false">IF(AND('🧪 INVENTAIRE'!B100&lt;&gt;"",'🧪 INVENTAIRE'!BC100&lt;&gt;""),ROW('🧪 INVENTAIRE'!B100),"")</f>
        <v/>
      </c>
      <c r="C99" s="0" t="str">
        <f aca="false">IF('🧪 INVENTAIRE'!B100="","",N('🧪 INVENTAIRE'!O100)+ROW()/1000000)</f>
        <v/>
      </c>
    </row>
    <row r="100" customFormat="false" ht="15" hidden="false" customHeight="false" outlineLevel="0" collapsed="false">
      <c r="A100" s="0" t="n">
        <f aca="false">IF('🧪 INVENTAIRE'!B101="",9000000000000000,IF('🧪 INVENTAIRE'!AJ101="",8000000000000000+ROW(),'🧪 INVENTAIRE'!AJ101*100000+ROW()))</f>
        <v>9000000000000000</v>
      </c>
      <c r="B100" s="0" t="str">
        <f aca="false">IF(AND('🧪 INVENTAIRE'!B101&lt;&gt;"",'🧪 INVENTAIRE'!BC101&lt;&gt;""),ROW('🧪 INVENTAIRE'!B101),"")</f>
        <v/>
      </c>
      <c r="C100" s="0" t="str">
        <f aca="false">IF('🧪 INVENTAIRE'!B101="","",N('🧪 INVENTAIRE'!O101)+ROW()/1000000)</f>
        <v/>
      </c>
    </row>
    <row r="101" customFormat="false" ht="15" hidden="false" customHeight="false" outlineLevel="0" collapsed="false">
      <c r="A101" s="0" t="n">
        <f aca="false">IF('🧪 INVENTAIRE'!B102="",9000000000000000,IF('🧪 INVENTAIRE'!AJ102="",8000000000000000+ROW(),'🧪 INVENTAIRE'!AJ102*100000+ROW()))</f>
        <v>9000000000000000</v>
      </c>
      <c r="B101" s="0" t="str">
        <f aca="false">IF(AND('🧪 INVENTAIRE'!B102&lt;&gt;"",'🧪 INVENTAIRE'!BC102&lt;&gt;""),ROW('🧪 INVENTAIRE'!B102),"")</f>
        <v/>
      </c>
      <c r="C101" s="0" t="str">
        <f aca="false">IF('🧪 INVENTAIRE'!B102="","",N('🧪 INVENTAIRE'!O102)+ROW()/1000000)</f>
        <v/>
      </c>
    </row>
    <row r="102" customFormat="false" ht="15" hidden="false" customHeight="false" outlineLevel="0" collapsed="false">
      <c r="A102" s="0" t="n">
        <f aca="false">IF('🧪 INVENTAIRE'!B103="",9000000000000000,IF('🧪 INVENTAIRE'!AJ103="",8000000000000000+ROW(),'🧪 INVENTAIRE'!AJ103*100000+ROW()))</f>
        <v>9000000000000000</v>
      </c>
      <c r="B102" s="0" t="str">
        <f aca="false">IF(AND('🧪 INVENTAIRE'!B103&lt;&gt;"",'🧪 INVENTAIRE'!BC103&lt;&gt;""),ROW('🧪 INVENTAIRE'!B103),"")</f>
        <v/>
      </c>
      <c r="C102" s="0" t="str">
        <f aca="false">IF('🧪 INVENTAIRE'!B103="","",N('🧪 INVENTAIRE'!O103)+ROW()/1000000)</f>
        <v/>
      </c>
    </row>
    <row r="103" customFormat="false" ht="15" hidden="false" customHeight="false" outlineLevel="0" collapsed="false">
      <c r="A103" s="0" t="n">
        <f aca="false">IF('🧪 INVENTAIRE'!B104="",9000000000000000,IF('🧪 INVENTAIRE'!AJ104="",8000000000000000+ROW(),'🧪 INVENTAIRE'!AJ104*100000+ROW()))</f>
        <v>9000000000000000</v>
      </c>
      <c r="B103" s="0" t="str">
        <f aca="false">IF(AND('🧪 INVENTAIRE'!B104&lt;&gt;"",'🧪 INVENTAIRE'!BC104&lt;&gt;""),ROW('🧪 INVENTAIRE'!B104),"")</f>
        <v/>
      </c>
      <c r="C103" s="0" t="str">
        <f aca="false">IF('🧪 INVENTAIRE'!B104="","",N('🧪 INVENTAIRE'!O104)+ROW()/1000000)</f>
        <v/>
      </c>
    </row>
    <row r="104" customFormat="false" ht="15" hidden="false" customHeight="false" outlineLevel="0" collapsed="false">
      <c r="A104" s="0" t="n">
        <f aca="false">IF('🧪 INVENTAIRE'!B105="",9000000000000000,IF('🧪 INVENTAIRE'!AJ105="",8000000000000000+ROW(),'🧪 INVENTAIRE'!AJ105*100000+ROW()))</f>
        <v>9000000000000000</v>
      </c>
      <c r="B104" s="0" t="str">
        <f aca="false">IF(AND('🧪 INVENTAIRE'!B105&lt;&gt;"",'🧪 INVENTAIRE'!BC105&lt;&gt;""),ROW('🧪 INVENTAIRE'!B105),"")</f>
        <v/>
      </c>
      <c r="C104" s="0" t="str">
        <f aca="false">IF('🧪 INVENTAIRE'!B105="","",N('🧪 INVENTAIRE'!O105)+ROW()/1000000)</f>
        <v/>
      </c>
    </row>
    <row r="105" customFormat="false" ht="15" hidden="false" customHeight="false" outlineLevel="0" collapsed="false">
      <c r="A105" s="0" t="n">
        <f aca="false">IF('🧪 INVENTAIRE'!B106="",9000000000000000,IF('🧪 INVENTAIRE'!AJ106="",8000000000000000+ROW(),'🧪 INVENTAIRE'!AJ106*100000+ROW()))</f>
        <v>9000000000000000</v>
      </c>
      <c r="B105" s="0" t="str">
        <f aca="false">IF(AND('🧪 INVENTAIRE'!B106&lt;&gt;"",'🧪 INVENTAIRE'!BC106&lt;&gt;""),ROW('🧪 INVENTAIRE'!B106),"")</f>
        <v/>
      </c>
      <c r="C105" s="0" t="str">
        <f aca="false">IF('🧪 INVENTAIRE'!B106="","",N('🧪 INVENTAIRE'!O106)+ROW()/1000000)</f>
        <v/>
      </c>
    </row>
    <row r="106" customFormat="false" ht="15" hidden="false" customHeight="false" outlineLevel="0" collapsed="false">
      <c r="A106" s="0" t="n">
        <f aca="false">IF('🧪 INVENTAIRE'!B107="",9000000000000000,IF('🧪 INVENTAIRE'!AJ107="",8000000000000000+ROW(),'🧪 INVENTAIRE'!AJ107*100000+ROW()))</f>
        <v>9000000000000000</v>
      </c>
      <c r="B106" s="0" t="str">
        <f aca="false">IF(AND('🧪 INVENTAIRE'!B107&lt;&gt;"",'🧪 INVENTAIRE'!BC107&lt;&gt;""),ROW('🧪 INVENTAIRE'!B107),"")</f>
        <v/>
      </c>
      <c r="C106" s="0" t="str">
        <f aca="false">IF('🧪 INVENTAIRE'!B107="","",N('🧪 INVENTAIRE'!O107)+ROW()/1000000)</f>
        <v/>
      </c>
    </row>
    <row r="107" customFormat="false" ht="15" hidden="false" customHeight="false" outlineLevel="0" collapsed="false">
      <c r="A107" s="0" t="n">
        <f aca="false">IF('🧪 INVENTAIRE'!B108="",9000000000000000,IF('🧪 INVENTAIRE'!AJ108="",8000000000000000+ROW(),'🧪 INVENTAIRE'!AJ108*100000+ROW()))</f>
        <v>9000000000000000</v>
      </c>
      <c r="B107" s="0" t="str">
        <f aca="false">IF(AND('🧪 INVENTAIRE'!B108&lt;&gt;"",'🧪 INVENTAIRE'!BC108&lt;&gt;""),ROW('🧪 INVENTAIRE'!B108),"")</f>
        <v/>
      </c>
      <c r="C107" s="0" t="str">
        <f aca="false">IF('🧪 INVENTAIRE'!B108="","",N('🧪 INVENTAIRE'!O108)+ROW()/1000000)</f>
        <v/>
      </c>
    </row>
    <row r="108" customFormat="false" ht="15" hidden="false" customHeight="false" outlineLevel="0" collapsed="false">
      <c r="A108" s="0" t="n">
        <f aca="false">IF('🧪 INVENTAIRE'!B109="",9000000000000000,IF('🧪 INVENTAIRE'!AJ109="",8000000000000000+ROW(),'🧪 INVENTAIRE'!AJ109*100000+ROW()))</f>
        <v>9000000000000000</v>
      </c>
      <c r="B108" s="0" t="str">
        <f aca="false">IF(AND('🧪 INVENTAIRE'!B109&lt;&gt;"",'🧪 INVENTAIRE'!BC109&lt;&gt;""),ROW('🧪 INVENTAIRE'!B109),"")</f>
        <v/>
      </c>
      <c r="C108" s="0" t="str">
        <f aca="false">IF('🧪 INVENTAIRE'!B109="","",N('🧪 INVENTAIRE'!O109)+ROW()/1000000)</f>
        <v/>
      </c>
    </row>
    <row r="109" customFormat="false" ht="15" hidden="false" customHeight="false" outlineLevel="0" collapsed="false">
      <c r="A109" s="0" t="n">
        <f aca="false">IF('🧪 INVENTAIRE'!B110="",9000000000000000,IF('🧪 INVENTAIRE'!AJ110="",8000000000000000+ROW(),'🧪 INVENTAIRE'!AJ110*100000+ROW()))</f>
        <v>9000000000000000</v>
      </c>
      <c r="B109" s="0" t="str">
        <f aca="false">IF(AND('🧪 INVENTAIRE'!B110&lt;&gt;"",'🧪 INVENTAIRE'!BC110&lt;&gt;""),ROW('🧪 INVENTAIRE'!B110),"")</f>
        <v/>
      </c>
      <c r="C109" s="0" t="str">
        <f aca="false">IF('🧪 INVENTAIRE'!B110="","",N('🧪 INVENTAIRE'!O110)+ROW()/1000000)</f>
        <v/>
      </c>
    </row>
    <row r="110" customFormat="false" ht="15" hidden="false" customHeight="false" outlineLevel="0" collapsed="false">
      <c r="A110" s="0" t="n">
        <f aca="false">IF('🧪 INVENTAIRE'!B111="",9000000000000000,IF('🧪 INVENTAIRE'!AJ111="",8000000000000000+ROW(),'🧪 INVENTAIRE'!AJ111*100000+ROW()))</f>
        <v>9000000000000000</v>
      </c>
      <c r="B110" s="0" t="str">
        <f aca="false">IF(AND('🧪 INVENTAIRE'!B111&lt;&gt;"",'🧪 INVENTAIRE'!BC111&lt;&gt;""),ROW('🧪 INVENTAIRE'!B111),"")</f>
        <v/>
      </c>
      <c r="C110" s="0" t="str">
        <f aca="false">IF('🧪 INVENTAIRE'!B111="","",N('🧪 INVENTAIRE'!O111)+ROW()/1000000)</f>
        <v/>
      </c>
    </row>
    <row r="111" customFormat="false" ht="15" hidden="false" customHeight="false" outlineLevel="0" collapsed="false">
      <c r="A111" s="0" t="n">
        <f aca="false">IF('🧪 INVENTAIRE'!B112="",9000000000000000,IF('🧪 INVENTAIRE'!AJ112="",8000000000000000+ROW(),'🧪 INVENTAIRE'!AJ112*100000+ROW()))</f>
        <v>9000000000000000</v>
      </c>
      <c r="B111" s="0" t="str">
        <f aca="false">IF(AND('🧪 INVENTAIRE'!B112&lt;&gt;"",'🧪 INVENTAIRE'!BC112&lt;&gt;""),ROW('🧪 INVENTAIRE'!B112),"")</f>
        <v/>
      </c>
      <c r="C111" s="0" t="str">
        <f aca="false">IF('🧪 INVENTAIRE'!B112="","",N('🧪 INVENTAIRE'!O112)+ROW()/1000000)</f>
        <v/>
      </c>
    </row>
    <row r="112" customFormat="false" ht="15" hidden="false" customHeight="false" outlineLevel="0" collapsed="false">
      <c r="A112" s="0" t="n">
        <f aca="false">IF('🧪 INVENTAIRE'!B113="",9000000000000000,IF('🧪 INVENTAIRE'!AJ113="",8000000000000000+ROW(),'🧪 INVENTAIRE'!AJ113*100000+ROW()))</f>
        <v>9000000000000000</v>
      </c>
      <c r="B112" s="0" t="str">
        <f aca="false">IF(AND('🧪 INVENTAIRE'!B113&lt;&gt;"",'🧪 INVENTAIRE'!BC113&lt;&gt;""),ROW('🧪 INVENTAIRE'!B113),"")</f>
        <v/>
      </c>
      <c r="C112" s="0" t="str">
        <f aca="false">IF('🧪 INVENTAIRE'!B113="","",N('🧪 INVENTAIRE'!O113)+ROW()/1000000)</f>
        <v/>
      </c>
    </row>
    <row r="113" customFormat="false" ht="15" hidden="false" customHeight="false" outlineLevel="0" collapsed="false">
      <c r="A113" s="0" t="n">
        <f aca="false">IF('🧪 INVENTAIRE'!B114="",9000000000000000,IF('🧪 INVENTAIRE'!AJ114="",8000000000000000+ROW(),'🧪 INVENTAIRE'!AJ114*100000+ROW()))</f>
        <v>9000000000000000</v>
      </c>
      <c r="B113" s="0" t="str">
        <f aca="false">IF(AND('🧪 INVENTAIRE'!B114&lt;&gt;"",'🧪 INVENTAIRE'!BC114&lt;&gt;""),ROW('🧪 INVENTAIRE'!B114),"")</f>
        <v/>
      </c>
      <c r="C113" s="0" t="str">
        <f aca="false">IF('🧪 INVENTAIRE'!B114="","",N('🧪 INVENTAIRE'!O114)+ROW()/1000000)</f>
        <v/>
      </c>
    </row>
    <row r="114" customFormat="false" ht="15" hidden="false" customHeight="false" outlineLevel="0" collapsed="false">
      <c r="A114" s="0" t="n">
        <f aca="false">IF('🧪 INVENTAIRE'!B115="",9000000000000000,IF('🧪 INVENTAIRE'!AJ115="",8000000000000000+ROW(),'🧪 INVENTAIRE'!AJ115*100000+ROW()))</f>
        <v>9000000000000000</v>
      </c>
      <c r="B114" s="0" t="str">
        <f aca="false">IF(AND('🧪 INVENTAIRE'!B115&lt;&gt;"",'🧪 INVENTAIRE'!BC115&lt;&gt;""),ROW('🧪 INVENTAIRE'!B115),"")</f>
        <v/>
      </c>
      <c r="C114" s="0" t="str">
        <f aca="false">IF('🧪 INVENTAIRE'!B115="","",N('🧪 INVENTAIRE'!O115)+ROW()/1000000)</f>
        <v/>
      </c>
    </row>
    <row r="115" customFormat="false" ht="15" hidden="false" customHeight="false" outlineLevel="0" collapsed="false">
      <c r="A115" s="0" t="n">
        <f aca="false">IF('🧪 INVENTAIRE'!B116="",9000000000000000,IF('🧪 INVENTAIRE'!AJ116="",8000000000000000+ROW(),'🧪 INVENTAIRE'!AJ116*100000+ROW()))</f>
        <v>9000000000000000</v>
      </c>
      <c r="B115" s="0" t="str">
        <f aca="false">IF(AND('🧪 INVENTAIRE'!B116&lt;&gt;"",'🧪 INVENTAIRE'!BC116&lt;&gt;""),ROW('🧪 INVENTAIRE'!B116),"")</f>
        <v/>
      </c>
      <c r="C115" s="0" t="str">
        <f aca="false">IF('🧪 INVENTAIRE'!B116="","",N('🧪 INVENTAIRE'!O116)+ROW()/1000000)</f>
        <v/>
      </c>
    </row>
    <row r="116" customFormat="false" ht="15" hidden="false" customHeight="false" outlineLevel="0" collapsed="false">
      <c r="A116" s="0" t="n">
        <f aca="false">IF('🧪 INVENTAIRE'!B117="",9000000000000000,IF('🧪 INVENTAIRE'!AJ117="",8000000000000000+ROW(),'🧪 INVENTAIRE'!AJ117*100000+ROW()))</f>
        <v>9000000000000000</v>
      </c>
      <c r="B116" s="0" t="str">
        <f aca="false">IF(AND('🧪 INVENTAIRE'!B117&lt;&gt;"",'🧪 INVENTAIRE'!BC117&lt;&gt;""),ROW('🧪 INVENTAIRE'!B117),"")</f>
        <v/>
      </c>
      <c r="C116" s="0" t="str">
        <f aca="false">IF('🧪 INVENTAIRE'!B117="","",N('🧪 INVENTAIRE'!O117)+ROW()/1000000)</f>
        <v/>
      </c>
    </row>
    <row r="117" customFormat="false" ht="15" hidden="false" customHeight="false" outlineLevel="0" collapsed="false">
      <c r="A117" s="0" t="n">
        <f aca="false">IF('🧪 INVENTAIRE'!B118="",9000000000000000,IF('🧪 INVENTAIRE'!AJ118="",8000000000000000+ROW(),'🧪 INVENTAIRE'!AJ118*100000+ROW()))</f>
        <v>9000000000000000</v>
      </c>
      <c r="B117" s="0" t="str">
        <f aca="false">IF(AND('🧪 INVENTAIRE'!B118&lt;&gt;"",'🧪 INVENTAIRE'!BC118&lt;&gt;""),ROW('🧪 INVENTAIRE'!B118),"")</f>
        <v/>
      </c>
      <c r="C117" s="0" t="str">
        <f aca="false">IF('🧪 INVENTAIRE'!B118="","",N('🧪 INVENTAIRE'!O118)+ROW()/1000000)</f>
        <v/>
      </c>
    </row>
    <row r="118" customFormat="false" ht="15" hidden="false" customHeight="false" outlineLevel="0" collapsed="false">
      <c r="A118" s="0" t="n">
        <f aca="false">IF('🧪 INVENTAIRE'!B119="",9000000000000000,IF('🧪 INVENTAIRE'!AJ119="",8000000000000000+ROW(),'🧪 INVENTAIRE'!AJ119*100000+ROW()))</f>
        <v>9000000000000000</v>
      </c>
      <c r="B118" s="0" t="str">
        <f aca="false">IF(AND('🧪 INVENTAIRE'!B119&lt;&gt;"",'🧪 INVENTAIRE'!BC119&lt;&gt;""),ROW('🧪 INVENTAIRE'!B119),"")</f>
        <v/>
      </c>
      <c r="C118" s="0" t="str">
        <f aca="false">IF('🧪 INVENTAIRE'!B119="","",N('🧪 INVENTAIRE'!O119)+ROW()/1000000)</f>
        <v/>
      </c>
    </row>
    <row r="119" customFormat="false" ht="15" hidden="false" customHeight="false" outlineLevel="0" collapsed="false">
      <c r="A119" s="0" t="n">
        <f aca="false">IF('🧪 INVENTAIRE'!B120="",9000000000000000,IF('🧪 INVENTAIRE'!AJ120="",8000000000000000+ROW(),'🧪 INVENTAIRE'!AJ120*100000+ROW()))</f>
        <v>9000000000000000</v>
      </c>
      <c r="B119" s="0" t="str">
        <f aca="false">IF(AND('🧪 INVENTAIRE'!B120&lt;&gt;"",'🧪 INVENTAIRE'!BC120&lt;&gt;""),ROW('🧪 INVENTAIRE'!B120),"")</f>
        <v/>
      </c>
      <c r="C119" s="0" t="str">
        <f aca="false">IF('🧪 INVENTAIRE'!B120="","",N('🧪 INVENTAIRE'!O120)+ROW()/1000000)</f>
        <v/>
      </c>
    </row>
    <row r="120" customFormat="false" ht="15" hidden="false" customHeight="false" outlineLevel="0" collapsed="false">
      <c r="A120" s="0" t="n">
        <f aca="false">IF('🧪 INVENTAIRE'!B121="",9000000000000000,IF('🧪 INVENTAIRE'!AJ121="",8000000000000000+ROW(),'🧪 INVENTAIRE'!AJ121*100000+ROW()))</f>
        <v>9000000000000000</v>
      </c>
      <c r="B120" s="0" t="str">
        <f aca="false">IF(AND('🧪 INVENTAIRE'!B121&lt;&gt;"",'🧪 INVENTAIRE'!BC121&lt;&gt;""),ROW('🧪 INVENTAIRE'!B121),"")</f>
        <v/>
      </c>
      <c r="C120" s="0" t="str">
        <f aca="false">IF('🧪 INVENTAIRE'!B121="","",N('🧪 INVENTAIRE'!O121)+ROW()/1000000)</f>
        <v/>
      </c>
    </row>
    <row r="121" customFormat="false" ht="15" hidden="false" customHeight="false" outlineLevel="0" collapsed="false">
      <c r="A121" s="0" t="n">
        <f aca="false">IF('🧪 INVENTAIRE'!B122="",9000000000000000,IF('🧪 INVENTAIRE'!AJ122="",8000000000000000+ROW(),'🧪 INVENTAIRE'!AJ122*100000+ROW()))</f>
        <v>9000000000000000</v>
      </c>
      <c r="B121" s="0" t="str">
        <f aca="false">IF(AND('🧪 INVENTAIRE'!B122&lt;&gt;"",'🧪 INVENTAIRE'!BC122&lt;&gt;""),ROW('🧪 INVENTAIRE'!B122),"")</f>
        <v/>
      </c>
      <c r="C121" s="0" t="str">
        <f aca="false">IF('🧪 INVENTAIRE'!B122="","",N('🧪 INVENTAIRE'!O122)+ROW()/1000000)</f>
        <v/>
      </c>
    </row>
    <row r="122" customFormat="false" ht="15" hidden="false" customHeight="false" outlineLevel="0" collapsed="false">
      <c r="A122" s="0" t="n">
        <f aca="false">IF('🧪 INVENTAIRE'!B123="",9000000000000000,IF('🧪 INVENTAIRE'!AJ123="",8000000000000000+ROW(),'🧪 INVENTAIRE'!AJ123*100000+ROW()))</f>
        <v>9000000000000000</v>
      </c>
      <c r="B122" s="0" t="str">
        <f aca="false">IF(AND('🧪 INVENTAIRE'!B123&lt;&gt;"",'🧪 INVENTAIRE'!BC123&lt;&gt;""),ROW('🧪 INVENTAIRE'!B123),"")</f>
        <v/>
      </c>
      <c r="C122" s="0" t="str">
        <f aca="false">IF('🧪 INVENTAIRE'!B123="","",N('🧪 INVENTAIRE'!O123)+ROW()/1000000)</f>
        <v/>
      </c>
    </row>
    <row r="123" customFormat="false" ht="15" hidden="false" customHeight="false" outlineLevel="0" collapsed="false">
      <c r="A123" s="0" t="n">
        <f aca="false">IF('🧪 INVENTAIRE'!B124="",9000000000000000,IF('🧪 INVENTAIRE'!AJ124="",8000000000000000+ROW(),'🧪 INVENTAIRE'!AJ124*100000+ROW()))</f>
        <v>9000000000000000</v>
      </c>
      <c r="B123" s="0" t="str">
        <f aca="false">IF(AND('🧪 INVENTAIRE'!B124&lt;&gt;"",'🧪 INVENTAIRE'!BC124&lt;&gt;""),ROW('🧪 INVENTAIRE'!B124),"")</f>
        <v/>
      </c>
      <c r="C123" s="0" t="str">
        <f aca="false">IF('🧪 INVENTAIRE'!B124="","",N('🧪 INVENTAIRE'!O124)+ROW()/1000000)</f>
        <v/>
      </c>
    </row>
    <row r="124" customFormat="false" ht="15" hidden="false" customHeight="false" outlineLevel="0" collapsed="false">
      <c r="A124" s="0" t="n">
        <f aca="false">IF('🧪 INVENTAIRE'!B125="",9000000000000000,IF('🧪 INVENTAIRE'!AJ125="",8000000000000000+ROW(),'🧪 INVENTAIRE'!AJ125*100000+ROW()))</f>
        <v>9000000000000000</v>
      </c>
      <c r="B124" s="0" t="str">
        <f aca="false">IF(AND('🧪 INVENTAIRE'!B125&lt;&gt;"",'🧪 INVENTAIRE'!BC125&lt;&gt;""),ROW('🧪 INVENTAIRE'!B125),"")</f>
        <v/>
      </c>
      <c r="C124" s="0" t="str">
        <f aca="false">IF('🧪 INVENTAIRE'!B125="","",N('🧪 INVENTAIRE'!O125)+ROW()/1000000)</f>
        <v/>
      </c>
    </row>
    <row r="125" customFormat="false" ht="15" hidden="false" customHeight="false" outlineLevel="0" collapsed="false">
      <c r="A125" s="0" t="n">
        <f aca="false">IF('🧪 INVENTAIRE'!B126="",9000000000000000,IF('🧪 INVENTAIRE'!AJ126="",8000000000000000+ROW(),'🧪 INVENTAIRE'!AJ126*100000+ROW()))</f>
        <v>9000000000000000</v>
      </c>
      <c r="B125" s="0" t="str">
        <f aca="false">IF(AND('🧪 INVENTAIRE'!B126&lt;&gt;"",'🧪 INVENTAIRE'!BC126&lt;&gt;""),ROW('🧪 INVENTAIRE'!B126),"")</f>
        <v/>
      </c>
      <c r="C125" s="0" t="str">
        <f aca="false">IF('🧪 INVENTAIRE'!B126="","",N('🧪 INVENTAIRE'!O126)+ROW()/1000000)</f>
        <v/>
      </c>
    </row>
    <row r="126" customFormat="false" ht="15" hidden="false" customHeight="false" outlineLevel="0" collapsed="false">
      <c r="A126" s="0" t="n">
        <f aca="false">IF('🧪 INVENTAIRE'!B127="",9000000000000000,IF('🧪 INVENTAIRE'!AJ127="",8000000000000000+ROW(),'🧪 INVENTAIRE'!AJ127*100000+ROW()))</f>
        <v>9000000000000000</v>
      </c>
      <c r="B126" s="0" t="str">
        <f aca="false">IF(AND('🧪 INVENTAIRE'!B127&lt;&gt;"",'🧪 INVENTAIRE'!BC127&lt;&gt;""),ROW('🧪 INVENTAIRE'!B127),"")</f>
        <v/>
      </c>
      <c r="C126" s="0" t="str">
        <f aca="false">IF('🧪 INVENTAIRE'!B127="","",N('🧪 INVENTAIRE'!O127)+ROW()/1000000)</f>
        <v/>
      </c>
    </row>
    <row r="127" customFormat="false" ht="15" hidden="false" customHeight="false" outlineLevel="0" collapsed="false">
      <c r="A127" s="0" t="n">
        <f aca="false">IF('🧪 INVENTAIRE'!B128="",9000000000000000,IF('🧪 INVENTAIRE'!AJ128="",8000000000000000+ROW(),'🧪 INVENTAIRE'!AJ128*100000+ROW()))</f>
        <v>9000000000000000</v>
      </c>
      <c r="B127" s="0" t="str">
        <f aca="false">IF(AND('🧪 INVENTAIRE'!B128&lt;&gt;"",'🧪 INVENTAIRE'!BC128&lt;&gt;""),ROW('🧪 INVENTAIRE'!B128),"")</f>
        <v/>
      </c>
      <c r="C127" s="0" t="str">
        <f aca="false">IF('🧪 INVENTAIRE'!B128="","",N('🧪 INVENTAIRE'!O128)+ROW()/1000000)</f>
        <v/>
      </c>
    </row>
    <row r="128" customFormat="false" ht="15" hidden="false" customHeight="false" outlineLevel="0" collapsed="false">
      <c r="A128" s="0" t="n">
        <f aca="false">IF('🧪 INVENTAIRE'!B129="",9000000000000000,IF('🧪 INVENTAIRE'!AJ129="",8000000000000000+ROW(),'🧪 INVENTAIRE'!AJ129*100000+ROW()))</f>
        <v>9000000000000000</v>
      </c>
      <c r="B128" s="0" t="str">
        <f aca="false">IF(AND('🧪 INVENTAIRE'!B129&lt;&gt;"",'🧪 INVENTAIRE'!BC129&lt;&gt;""),ROW('🧪 INVENTAIRE'!B129),"")</f>
        <v/>
      </c>
      <c r="C128" s="0" t="str">
        <f aca="false">IF('🧪 INVENTAIRE'!B129="","",N('🧪 INVENTAIRE'!O129)+ROW()/1000000)</f>
        <v/>
      </c>
    </row>
    <row r="129" customFormat="false" ht="15" hidden="false" customHeight="false" outlineLevel="0" collapsed="false">
      <c r="A129" s="0" t="n">
        <f aca="false">IF('🧪 INVENTAIRE'!B130="",9000000000000000,IF('🧪 INVENTAIRE'!AJ130="",8000000000000000+ROW(),'🧪 INVENTAIRE'!AJ130*100000+ROW()))</f>
        <v>9000000000000000</v>
      </c>
      <c r="B129" s="0" t="str">
        <f aca="false">IF(AND('🧪 INVENTAIRE'!B130&lt;&gt;"",'🧪 INVENTAIRE'!BC130&lt;&gt;""),ROW('🧪 INVENTAIRE'!B130),"")</f>
        <v/>
      </c>
      <c r="C129" s="0" t="str">
        <f aca="false">IF('🧪 INVENTAIRE'!B130="","",N('🧪 INVENTAIRE'!O130)+ROW()/1000000)</f>
        <v/>
      </c>
    </row>
    <row r="130" customFormat="false" ht="15" hidden="false" customHeight="false" outlineLevel="0" collapsed="false">
      <c r="A130" s="0" t="n">
        <f aca="false">IF('🧪 INVENTAIRE'!B131="",9000000000000000,IF('🧪 INVENTAIRE'!AJ131="",8000000000000000+ROW(),'🧪 INVENTAIRE'!AJ131*100000+ROW()))</f>
        <v>9000000000000000</v>
      </c>
      <c r="B130" s="0" t="str">
        <f aca="false">IF(AND('🧪 INVENTAIRE'!B131&lt;&gt;"",'🧪 INVENTAIRE'!BC131&lt;&gt;""),ROW('🧪 INVENTAIRE'!B131),"")</f>
        <v/>
      </c>
      <c r="C130" s="0" t="str">
        <f aca="false">IF('🧪 INVENTAIRE'!B131="","",N('🧪 INVENTAIRE'!O131)+ROW()/1000000)</f>
        <v/>
      </c>
    </row>
    <row r="131" customFormat="false" ht="15" hidden="false" customHeight="false" outlineLevel="0" collapsed="false">
      <c r="A131" s="0" t="n">
        <f aca="false">IF('🧪 INVENTAIRE'!B132="",9000000000000000,IF('🧪 INVENTAIRE'!AJ132="",8000000000000000+ROW(),'🧪 INVENTAIRE'!AJ132*100000+ROW()))</f>
        <v>9000000000000000</v>
      </c>
      <c r="B131" s="0" t="str">
        <f aca="false">IF(AND('🧪 INVENTAIRE'!B132&lt;&gt;"",'🧪 INVENTAIRE'!BC132&lt;&gt;""),ROW('🧪 INVENTAIRE'!B132),"")</f>
        <v/>
      </c>
      <c r="C131" s="0" t="str">
        <f aca="false">IF('🧪 INVENTAIRE'!B132="","",N('🧪 INVENTAIRE'!O132)+ROW()/1000000)</f>
        <v/>
      </c>
    </row>
    <row r="132" customFormat="false" ht="15" hidden="false" customHeight="false" outlineLevel="0" collapsed="false">
      <c r="A132" s="0" t="n">
        <f aca="false">IF('🧪 INVENTAIRE'!B133="",9000000000000000,IF('🧪 INVENTAIRE'!AJ133="",8000000000000000+ROW(),'🧪 INVENTAIRE'!AJ133*100000+ROW()))</f>
        <v>9000000000000000</v>
      </c>
      <c r="B132" s="0" t="str">
        <f aca="false">IF(AND('🧪 INVENTAIRE'!B133&lt;&gt;"",'🧪 INVENTAIRE'!BC133&lt;&gt;""),ROW('🧪 INVENTAIRE'!B133),"")</f>
        <v/>
      </c>
      <c r="C132" s="0" t="str">
        <f aca="false">IF('🧪 INVENTAIRE'!B133="","",N('🧪 INVENTAIRE'!O133)+ROW()/1000000)</f>
        <v/>
      </c>
    </row>
    <row r="133" customFormat="false" ht="15" hidden="false" customHeight="false" outlineLevel="0" collapsed="false">
      <c r="A133" s="0" t="n">
        <f aca="false">IF('🧪 INVENTAIRE'!B134="",9000000000000000,IF('🧪 INVENTAIRE'!AJ134="",8000000000000000+ROW(),'🧪 INVENTAIRE'!AJ134*100000+ROW()))</f>
        <v>9000000000000000</v>
      </c>
      <c r="B133" s="0" t="str">
        <f aca="false">IF(AND('🧪 INVENTAIRE'!B134&lt;&gt;"",'🧪 INVENTAIRE'!BC134&lt;&gt;""),ROW('🧪 INVENTAIRE'!B134),"")</f>
        <v/>
      </c>
      <c r="C133" s="0" t="str">
        <f aca="false">IF('🧪 INVENTAIRE'!B134="","",N('🧪 INVENTAIRE'!O134)+ROW()/1000000)</f>
        <v/>
      </c>
    </row>
    <row r="134" customFormat="false" ht="15" hidden="false" customHeight="false" outlineLevel="0" collapsed="false">
      <c r="A134" s="0" t="n">
        <f aca="false">IF('🧪 INVENTAIRE'!B135="",9000000000000000,IF('🧪 INVENTAIRE'!AJ135="",8000000000000000+ROW(),'🧪 INVENTAIRE'!AJ135*100000+ROW()))</f>
        <v>9000000000000000</v>
      </c>
      <c r="B134" s="0" t="str">
        <f aca="false">IF(AND('🧪 INVENTAIRE'!B135&lt;&gt;"",'🧪 INVENTAIRE'!BC135&lt;&gt;""),ROW('🧪 INVENTAIRE'!B135),"")</f>
        <v/>
      </c>
      <c r="C134" s="0" t="str">
        <f aca="false">IF('🧪 INVENTAIRE'!B135="","",N('🧪 INVENTAIRE'!O135)+ROW()/1000000)</f>
        <v/>
      </c>
    </row>
    <row r="135" customFormat="false" ht="15" hidden="false" customHeight="false" outlineLevel="0" collapsed="false">
      <c r="A135" s="0" t="n">
        <f aca="false">IF('🧪 INVENTAIRE'!B136="",9000000000000000,IF('🧪 INVENTAIRE'!AJ136="",8000000000000000+ROW(),'🧪 INVENTAIRE'!AJ136*100000+ROW()))</f>
        <v>9000000000000000</v>
      </c>
      <c r="B135" s="0" t="str">
        <f aca="false">IF(AND('🧪 INVENTAIRE'!B136&lt;&gt;"",'🧪 INVENTAIRE'!BC136&lt;&gt;""),ROW('🧪 INVENTAIRE'!B136),"")</f>
        <v/>
      </c>
      <c r="C135" s="0" t="str">
        <f aca="false">IF('🧪 INVENTAIRE'!B136="","",N('🧪 INVENTAIRE'!O136)+ROW()/1000000)</f>
        <v/>
      </c>
    </row>
    <row r="136" customFormat="false" ht="15" hidden="false" customHeight="false" outlineLevel="0" collapsed="false">
      <c r="A136" s="0" t="n">
        <f aca="false">IF('🧪 INVENTAIRE'!B137="",9000000000000000,IF('🧪 INVENTAIRE'!AJ137="",8000000000000000+ROW(),'🧪 INVENTAIRE'!AJ137*100000+ROW()))</f>
        <v>9000000000000000</v>
      </c>
      <c r="B136" s="0" t="str">
        <f aca="false">IF(AND('🧪 INVENTAIRE'!B137&lt;&gt;"",'🧪 INVENTAIRE'!BC137&lt;&gt;""),ROW('🧪 INVENTAIRE'!B137),"")</f>
        <v/>
      </c>
      <c r="C136" s="0" t="str">
        <f aca="false">IF('🧪 INVENTAIRE'!B137="","",N('🧪 INVENTAIRE'!O137)+ROW()/1000000)</f>
        <v/>
      </c>
    </row>
    <row r="137" customFormat="false" ht="15" hidden="false" customHeight="false" outlineLevel="0" collapsed="false">
      <c r="A137" s="0" t="n">
        <f aca="false">IF('🧪 INVENTAIRE'!B138="",9000000000000000,IF('🧪 INVENTAIRE'!AJ138="",8000000000000000+ROW(),'🧪 INVENTAIRE'!AJ138*100000+ROW()))</f>
        <v>9000000000000000</v>
      </c>
      <c r="B137" s="0" t="str">
        <f aca="false">IF(AND('🧪 INVENTAIRE'!B138&lt;&gt;"",'🧪 INVENTAIRE'!BC138&lt;&gt;""),ROW('🧪 INVENTAIRE'!B138),"")</f>
        <v/>
      </c>
      <c r="C137" s="0" t="str">
        <f aca="false">IF('🧪 INVENTAIRE'!B138="","",N('🧪 INVENTAIRE'!O138)+ROW()/1000000)</f>
        <v/>
      </c>
    </row>
    <row r="138" customFormat="false" ht="15" hidden="false" customHeight="false" outlineLevel="0" collapsed="false">
      <c r="A138" s="0" t="n">
        <f aca="false">IF('🧪 INVENTAIRE'!B139="",9000000000000000,IF('🧪 INVENTAIRE'!AJ139="",8000000000000000+ROW(),'🧪 INVENTAIRE'!AJ139*100000+ROW()))</f>
        <v>9000000000000000</v>
      </c>
      <c r="B138" s="0" t="str">
        <f aca="false">IF(AND('🧪 INVENTAIRE'!B139&lt;&gt;"",'🧪 INVENTAIRE'!BC139&lt;&gt;""),ROW('🧪 INVENTAIRE'!B139),"")</f>
        <v/>
      </c>
      <c r="C138" s="0" t="str">
        <f aca="false">IF('🧪 INVENTAIRE'!B139="","",N('🧪 INVENTAIRE'!O139)+ROW()/1000000)</f>
        <v/>
      </c>
    </row>
    <row r="139" customFormat="false" ht="15" hidden="false" customHeight="false" outlineLevel="0" collapsed="false">
      <c r="A139" s="0" t="n">
        <f aca="false">IF('🧪 INVENTAIRE'!B140="",9000000000000000,IF('🧪 INVENTAIRE'!AJ140="",8000000000000000+ROW(),'🧪 INVENTAIRE'!AJ140*100000+ROW()))</f>
        <v>9000000000000000</v>
      </c>
      <c r="B139" s="0" t="str">
        <f aca="false">IF(AND('🧪 INVENTAIRE'!B140&lt;&gt;"",'🧪 INVENTAIRE'!BC140&lt;&gt;""),ROW('🧪 INVENTAIRE'!B140),"")</f>
        <v/>
      </c>
      <c r="C139" s="0" t="str">
        <f aca="false">IF('🧪 INVENTAIRE'!B140="","",N('🧪 INVENTAIRE'!O140)+ROW()/1000000)</f>
        <v/>
      </c>
    </row>
    <row r="140" customFormat="false" ht="15" hidden="false" customHeight="false" outlineLevel="0" collapsed="false">
      <c r="A140" s="0" t="n">
        <f aca="false">IF('🧪 INVENTAIRE'!B141="",9000000000000000,IF('🧪 INVENTAIRE'!AJ141="",8000000000000000+ROW(),'🧪 INVENTAIRE'!AJ141*100000+ROW()))</f>
        <v>9000000000000000</v>
      </c>
      <c r="B140" s="0" t="str">
        <f aca="false">IF(AND('🧪 INVENTAIRE'!B141&lt;&gt;"",'🧪 INVENTAIRE'!BC141&lt;&gt;""),ROW('🧪 INVENTAIRE'!B141),"")</f>
        <v/>
      </c>
      <c r="C140" s="0" t="str">
        <f aca="false">IF('🧪 INVENTAIRE'!B141="","",N('🧪 INVENTAIRE'!O141)+ROW()/1000000)</f>
        <v/>
      </c>
    </row>
    <row r="141" customFormat="false" ht="15" hidden="false" customHeight="false" outlineLevel="0" collapsed="false">
      <c r="A141" s="0" t="n">
        <f aca="false">IF('🧪 INVENTAIRE'!B142="",9000000000000000,IF('🧪 INVENTAIRE'!AJ142="",8000000000000000+ROW(),'🧪 INVENTAIRE'!AJ142*100000+ROW()))</f>
        <v>9000000000000000</v>
      </c>
      <c r="B141" s="0" t="str">
        <f aca="false">IF(AND('🧪 INVENTAIRE'!B142&lt;&gt;"",'🧪 INVENTAIRE'!BC142&lt;&gt;""),ROW('🧪 INVENTAIRE'!B142),"")</f>
        <v/>
      </c>
      <c r="C141" s="0" t="str">
        <f aca="false">IF('🧪 INVENTAIRE'!B142="","",N('🧪 INVENTAIRE'!O142)+ROW()/1000000)</f>
        <v/>
      </c>
    </row>
    <row r="142" customFormat="false" ht="15" hidden="false" customHeight="false" outlineLevel="0" collapsed="false">
      <c r="A142" s="0" t="n">
        <f aca="false">IF('🧪 INVENTAIRE'!B143="",9000000000000000,IF('🧪 INVENTAIRE'!AJ143="",8000000000000000+ROW(),'🧪 INVENTAIRE'!AJ143*100000+ROW()))</f>
        <v>9000000000000000</v>
      </c>
      <c r="B142" s="0" t="str">
        <f aca="false">IF(AND('🧪 INVENTAIRE'!B143&lt;&gt;"",'🧪 INVENTAIRE'!BC143&lt;&gt;""),ROW('🧪 INVENTAIRE'!B143),"")</f>
        <v/>
      </c>
      <c r="C142" s="0" t="str">
        <f aca="false">IF('🧪 INVENTAIRE'!B143="","",N('🧪 INVENTAIRE'!O143)+ROW()/1000000)</f>
        <v/>
      </c>
    </row>
    <row r="143" customFormat="false" ht="15" hidden="false" customHeight="false" outlineLevel="0" collapsed="false">
      <c r="A143" s="0" t="n">
        <f aca="false">IF('🧪 INVENTAIRE'!B144="",9000000000000000,IF('🧪 INVENTAIRE'!AJ144="",8000000000000000+ROW(),'🧪 INVENTAIRE'!AJ144*100000+ROW()))</f>
        <v>9000000000000000</v>
      </c>
      <c r="B143" s="0" t="str">
        <f aca="false">IF(AND('🧪 INVENTAIRE'!B144&lt;&gt;"",'🧪 INVENTAIRE'!BC144&lt;&gt;""),ROW('🧪 INVENTAIRE'!B144),"")</f>
        <v/>
      </c>
      <c r="C143" s="0" t="str">
        <f aca="false">IF('🧪 INVENTAIRE'!B144="","",N('🧪 INVENTAIRE'!O144)+ROW()/1000000)</f>
        <v/>
      </c>
    </row>
    <row r="144" customFormat="false" ht="15" hidden="false" customHeight="false" outlineLevel="0" collapsed="false">
      <c r="A144" s="0" t="n">
        <f aca="false">IF('🧪 INVENTAIRE'!B145="",9000000000000000,IF('🧪 INVENTAIRE'!AJ145="",8000000000000000+ROW(),'🧪 INVENTAIRE'!AJ145*100000+ROW()))</f>
        <v>9000000000000000</v>
      </c>
      <c r="B144" s="0" t="str">
        <f aca="false">IF(AND('🧪 INVENTAIRE'!B145&lt;&gt;"",'🧪 INVENTAIRE'!BC145&lt;&gt;""),ROW('🧪 INVENTAIRE'!B145),"")</f>
        <v/>
      </c>
      <c r="C144" s="0" t="str">
        <f aca="false">IF('🧪 INVENTAIRE'!B145="","",N('🧪 INVENTAIRE'!O145)+ROW()/1000000)</f>
        <v/>
      </c>
    </row>
    <row r="145" customFormat="false" ht="15" hidden="false" customHeight="false" outlineLevel="0" collapsed="false">
      <c r="A145" s="0" t="n">
        <f aca="false">IF('🧪 INVENTAIRE'!B146="",9000000000000000,IF('🧪 INVENTAIRE'!AJ146="",8000000000000000+ROW(),'🧪 INVENTAIRE'!AJ146*100000+ROW()))</f>
        <v>9000000000000000</v>
      </c>
      <c r="B145" s="0" t="str">
        <f aca="false">IF(AND('🧪 INVENTAIRE'!B146&lt;&gt;"",'🧪 INVENTAIRE'!BC146&lt;&gt;""),ROW('🧪 INVENTAIRE'!B146),"")</f>
        <v/>
      </c>
      <c r="C145" s="0" t="str">
        <f aca="false">IF('🧪 INVENTAIRE'!B146="","",N('🧪 INVENTAIRE'!O146)+ROW()/1000000)</f>
        <v/>
      </c>
    </row>
    <row r="146" customFormat="false" ht="15" hidden="false" customHeight="false" outlineLevel="0" collapsed="false">
      <c r="A146" s="0" t="n">
        <f aca="false">IF('🧪 INVENTAIRE'!B147="",9000000000000000,IF('🧪 INVENTAIRE'!AJ147="",8000000000000000+ROW(),'🧪 INVENTAIRE'!AJ147*100000+ROW()))</f>
        <v>9000000000000000</v>
      </c>
      <c r="B146" s="0" t="str">
        <f aca="false">IF(AND('🧪 INVENTAIRE'!B147&lt;&gt;"",'🧪 INVENTAIRE'!BC147&lt;&gt;""),ROW('🧪 INVENTAIRE'!B147),"")</f>
        <v/>
      </c>
      <c r="C146" s="0" t="str">
        <f aca="false">IF('🧪 INVENTAIRE'!B147="","",N('🧪 INVENTAIRE'!O147)+ROW()/1000000)</f>
        <v/>
      </c>
    </row>
    <row r="147" customFormat="false" ht="15" hidden="false" customHeight="false" outlineLevel="0" collapsed="false">
      <c r="A147" s="0" t="n">
        <f aca="false">IF('🧪 INVENTAIRE'!B148="",9000000000000000,IF('🧪 INVENTAIRE'!AJ148="",8000000000000000+ROW(),'🧪 INVENTAIRE'!AJ148*100000+ROW()))</f>
        <v>9000000000000000</v>
      </c>
      <c r="B147" s="0" t="str">
        <f aca="false">IF(AND('🧪 INVENTAIRE'!B148&lt;&gt;"",'🧪 INVENTAIRE'!BC148&lt;&gt;""),ROW('🧪 INVENTAIRE'!B148),"")</f>
        <v/>
      </c>
      <c r="C147" s="0" t="str">
        <f aca="false">IF('🧪 INVENTAIRE'!B148="","",N('🧪 INVENTAIRE'!O148)+ROW()/1000000)</f>
        <v/>
      </c>
    </row>
    <row r="148" customFormat="false" ht="15" hidden="false" customHeight="false" outlineLevel="0" collapsed="false">
      <c r="A148" s="0" t="n">
        <f aca="false">IF('🧪 INVENTAIRE'!B149="",9000000000000000,IF('🧪 INVENTAIRE'!AJ149="",8000000000000000+ROW(),'🧪 INVENTAIRE'!AJ149*100000+ROW()))</f>
        <v>9000000000000000</v>
      </c>
      <c r="B148" s="0" t="str">
        <f aca="false">IF(AND('🧪 INVENTAIRE'!B149&lt;&gt;"",'🧪 INVENTAIRE'!BC149&lt;&gt;""),ROW('🧪 INVENTAIRE'!B149),"")</f>
        <v/>
      </c>
      <c r="C148" s="0" t="str">
        <f aca="false">IF('🧪 INVENTAIRE'!B149="","",N('🧪 INVENTAIRE'!O149)+ROW()/1000000)</f>
        <v/>
      </c>
    </row>
    <row r="149" customFormat="false" ht="15" hidden="false" customHeight="false" outlineLevel="0" collapsed="false">
      <c r="A149" s="0" t="n">
        <f aca="false">IF('🧪 INVENTAIRE'!B150="",9000000000000000,IF('🧪 INVENTAIRE'!AJ150="",8000000000000000+ROW(),'🧪 INVENTAIRE'!AJ150*100000+ROW()))</f>
        <v>9000000000000000</v>
      </c>
      <c r="B149" s="0" t="str">
        <f aca="false">IF(AND('🧪 INVENTAIRE'!B150&lt;&gt;"",'🧪 INVENTAIRE'!BC150&lt;&gt;""),ROW('🧪 INVENTAIRE'!B150),"")</f>
        <v/>
      </c>
      <c r="C149" s="0" t="str">
        <f aca="false">IF('🧪 INVENTAIRE'!B150="","",N('🧪 INVENTAIRE'!O150)+ROW()/1000000)</f>
        <v/>
      </c>
    </row>
    <row r="150" customFormat="false" ht="15" hidden="false" customHeight="false" outlineLevel="0" collapsed="false">
      <c r="A150" s="0" t="n">
        <f aca="false">IF('🧪 INVENTAIRE'!B151="",9000000000000000,IF('🧪 INVENTAIRE'!AJ151="",8000000000000000+ROW(),'🧪 INVENTAIRE'!AJ151*100000+ROW()))</f>
        <v>9000000000000000</v>
      </c>
      <c r="B150" s="0" t="str">
        <f aca="false">IF(AND('🧪 INVENTAIRE'!B151&lt;&gt;"",'🧪 INVENTAIRE'!BC151&lt;&gt;""),ROW('🧪 INVENTAIRE'!B151),"")</f>
        <v/>
      </c>
      <c r="C150" s="0" t="str">
        <f aca="false">IF('🧪 INVENTAIRE'!B151="","",N('🧪 INVENTAIRE'!O151)+ROW()/1000000)</f>
        <v/>
      </c>
    </row>
    <row r="151" customFormat="false" ht="15" hidden="false" customHeight="false" outlineLevel="0" collapsed="false">
      <c r="A151" s="0" t="n">
        <f aca="false">IF('🧪 INVENTAIRE'!B152="",9000000000000000,IF('🧪 INVENTAIRE'!AJ152="",8000000000000000+ROW(),'🧪 INVENTAIRE'!AJ152*100000+ROW()))</f>
        <v>9000000000000000</v>
      </c>
      <c r="B151" s="0" t="str">
        <f aca="false">IF(AND('🧪 INVENTAIRE'!B152&lt;&gt;"",'🧪 INVENTAIRE'!BC152&lt;&gt;""),ROW('🧪 INVENTAIRE'!B152),"")</f>
        <v/>
      </c>
      <c r="C151" s="0" t="str">
        <f aca="false">IF('🧪 INVENTAIRE'!B152="","",N('🧪 INVENTAIRE'!O152)+ROW()/1000000)</f>
        <v/>
      </c>
    </row>
    <row r="152" customFormat="false" ht="15" hidden="false" customHeight="false" outlineLevel="0" collapsed="false">
      <c r="A152" s="0" t="n">
        <f aca="false">IF('🧪 INVENTAIRE'!B153="",9000000000000000,IF('🧪 INVENTAIRE'!AJ153="",8000000000000000+ROW(),'🧪 INVENTAIRE'!AJ153*100000+ROW()))</f>
        <v>9000000000000000</v>
      </c>
      <c r="B152" s="0" t="str">
        <f aca="false">IF(AND('🧪 INVENTAIRE'!B153&lt;&gt;"",'🧪 INVENTAIRE'!BC153&lt;&gt;""),ROW('🧪 INVENTAIRE'!B153),"")</f>
        <v/>
      </c>
      <c r="C152" s="0" t="str">
        <f aca="false">IF('🧪 INVENTAIRE'!B153="","",N('🧪 INVENTAIRE'!O153)+ROW()/1000000)</f>
        <v/>
      </c>
    </row>
    <row r="153" customFormat="false" ht="15" hidden="false" customHeight="false" outlineLevel="0" collapsed="false">
      <c r="A153" s="0" t="n">
        <f aca="false">IF('🧪 INVENTAIRE'!B154="",9000000000000000,IF('🧪 INVENTAIRE'!AJ154="",8000000000000000+ROW(),'🧪 INVENTAIRE'!AJ154*100000+ROW()))</f>
        <v>9000000000000000</v>
      </c>
      <c r="B153" s="0" t="str">
        <f aca="false">IF(AND('🧪 INVENTAIRE'!B154&lt;&gt;"",'🧪 INVENTAIRE'!BC154&lt;&gt;""),ROW('🧪 INVENTAIRE'!B154),"")</f>
        <v/>
      </c>
      <c r="C153" s="0" t="str">
        <f aca="false">IF('🧪 INVENTAIRE'!B154="","",N('🧪 INVENTAIRE'!O154)+ROW()/1000000)</f>
        <v/>
      </c>
    </row>
    <row r="154" customFormat="false" ht="15" hidden="false" customHeight="false" outlineLevel="0" collapsed="false">
      <c r="A154" s="0" t="n">
        <f aca="false">IF('🧪 INVENTAIRE'!B155="",9000000000000000,IF('🧪 INVENTAIRE'!AJ155="",8000000000000000+ROW(),'🧪 INVENTAIRE'!AJ155*100000+ROW()))</f>
        <v>9000000000000000</v>
      </c>
      <c r="B154" s="0" t="str">
        <f aca="false">IF(AND('🧪 INVENTAIRE'!B155&lt;&gt;"",'🧪 INVENTAIRE'!BC155&lt;&gt;""),ROW('🧪 INVENTAIRE'!B155),"")</f>
        <v/>
      </c>
      <c r="C154" s="0" t="str">
        <f aca="false">IF('🧪 INVENTAIRE'!B155="","",N('🧪 INVENTAIRE'!O155)+ROW()/1000000)</f>
        <v/>
      </c>
    </row>
    <row r="155" customFormat="false" ht="15" hidden="false" customHeight="false" outlineLevel="0" collapsed="false">
      <c r="A155" s="0" t="n">
        <f aca="false">IF('🧪 INVENTAIRE'!B156="",9000000000000000,IF('🧪 INVENTAIRE'!AJ156="",8000000000000000+ROW(),'🧪 INVENTAIRE'!AJ156*100000+ROW()))</f>
        <v>9000000000000000</v>
      </c>
      <c r="B155" s="0" t="str">
        <f aca="false">IF(AND('🧪 INVENTAIRE'!B156&lt;&gt;"",'🧪 INVENTAIRE'!BC156&lt;&gt;""),ROW('🧪 INVENTAIRE'!B156),"")</f>
        <v/>
      </c>
      <c r="C155" s="0" t="str">
        <f aca="false">IF('🧪 INVENTAIRE'!B156="","",N('🧪 INVENTAIRE'!O156)+ROW()/1000000)</f>
        <v/>
      </c>
    </row>
    <row r="156" customFormat="false" ht="15" hidden="false" customHeight="false" outlineLevel="0" collapsed="false">
      <c r="A156" s="0" t="n">
        <f aca="false">IF('🧪 INVENTAIRE'!B157="",9000000000000000,IF('🧪 INVENTAIRE'!AJ157="",8000000000000000+ROW(),'🧪 INVENTAIRE'!AJ157*100000+ROW()))</f>
        <v>9000000000000000</v>
      </c>
      <c r="B156" s="0" t="str">
        <f aca="false">IF(AND('🧪 INVENTAIRE'!B157&lt;&gt;"",'🧪 INVENTAIRE'!BC157&lt;&gt;""),ROW('🧪 INVENTAIRE'!B157),"")</f>
        <v/>
      </c>
      <c r="C156" s="0" t="str">
        <f aca="false">IF('🧪 INVENTAIRE'!B157="","",N('🧪 INVENTAIRE'!O157)+ROW()/1000000)</f>
        <v/>
      </c>
    </row>
    <row r="157" customFormat="false" ht="15" hidden="false" customHeight="false" outlineLevel="0" collapsed="false">
      <c r="A157" s="0" t="n">
        <f aca="false">IF('🧪 INVENTAIRE'!B158="",9000000000000000,IF('🧪 INVENTAIRE'!AJ158="",8000000000000000+ROW(),'🧪 INVENTAIRE'!AJ158*100000+ROW()))</f>
        <v>9000000000000000</v>
      </c>
      <c r="B157" s="0" t="str">
        <f aca="false">IF(AND('🧪 INVENTAIRE'!B158&lt;&gt;"",'🧪 INVENTAIRE'!BC158&lt;&gt;""),ROW('🧪 INVENTAIRE'!B158),"")</f>
        <v/>
      </c>
      <c r="C157" s="0" t="str">
        <f aca="false">IF('🧪 INVENTAIRE'!B158="","",N('🧪 INVENTAIRE'!O158)+ROW()/1000000)</f>
        <v/>
      </c>
    </row>
    <row r="158" customFormat="false" ht="15" hidden="false" customHeight="false" outlineLevel="0" collapsed="false">
      <c r="A158" s="0" t="n">
        <f aca="false">IF('🧪 INVENTAIRE'!B159="",9000000000000000,IF('🧪 INVENTAIRE'!AJ159="",8000000000000000+ROW(),'🧪 INVENTAIRE'!AJ159*100000+ROW()))</f>
        <v>9000000000000000</v>
      </c>
      <c r="B158" s="0" t="str">
        <f aca="false">IF(AND('🧪 INVENTAIRE'!B159&lt;&gt;"",'🧪 INVENTAIRE'!BC159&lt;&gt;""),ROW('🧪 INVENTAIRE'!B159),"")</f>
        <v/>
      </c>
      <c r="C158" s="0" t="str">
        <f aca="false">IF('🧪 INVENTAIRE'!B159="","",N('🧪 INVENTAIRE'!O159)+ROW()/1000000)</f>
        <v/>
      </c>
    </row>
    <row r="159" customFormat="false" ht="15" hidden="false" customHeight="false" outlineLevel="0" collapsed="false">
      <c r="A159" s="0" t="n">
        <f aca="false">IF('🧪 INVENTAIRE'!B160="",9000000000000000,IF('🧪 INVENTAIRE'!AJ160="",8000000000000000+ROW(),'🧪 INVENTAIRE'!AJ160*100000+ROW()))</f>
        <v>9000000000000000</v>
      </c>
      <c r="B159" s="0" t="str">
        <f aca="false">IF(AND('🧪 INVENTAIRE'!B160&lt;&gt;"",'🧪 INVENTAIRE'!BC160&lt;&gt;""),ROW('🧪 INVENTAIRE'!B160),"")</f>
        <v/>
      </c>
      <c r="C159" s="0" t="str">
        <f aca="false">IF('🧪 INVENTAIRE'!B160="","",N('🧪 INVENTAIRE'!O160)+ROW()/1000000)</f>
        <v/>
      </c>
    </row>
    <row r="160" customFormat="false" ht="15" hidden="false" customHeight="false" outlineLevel="0" collapsed="false">
      <c r="A160" s="0" t="n">
        <f aca="false">IF('🧪 INVENTAIRE'!B161="",9000000000000000,IF('🧪 INVENTAIRE'!AJ161="",8000000000000000+ROW(),'🧪 INVENTAIRE'!AJ161*100000+ROW()))</f>
        <v>9000000000000000</v>
      </c>
      <c r="B160" s="0" t="str">
        <f aca="false">IF(AND('🧪 INVENTAIRE'!B161&lt;&gt;"",'🧪 INVENTAIRE'!BC161&lt;&gt;""),ROW('🧪 INVENTAIRE'!B161),"")</f>
        <v/>
      </c>
      <c r="C160" s="0" t="str">
        <f aca="false">IF('🧪 INVENTAIRE'!B161="","",N('🧪 INVENTAIRE'!O161)+ROW()/1000000)</f>
        <v/>
      </c>
    </row>
    <row r="161" customFormat="false" ht="15" hidden="false" customHeight="false" outlineLevel="0" collapsed="false">
      <c r="A161" s="0" t="n">
        <f aca="false">IF('🧪 INVENTAIRE'!B162="",9000000000000000,IF('🧪 INVENTAIRE'!AJ162="",8000000000000000+ROW(),'🧪 INVENTAIRE'!AJ162*100000+ROW()))</f>
        <v>9000000000000000</v>
      </c>
      <c r="B161" s="0" t="str">
        <f aca="false">IF(AND('🧪 INVENTAIRE'!B162&lt;&gt;"",'🧪 INVENTAIRE'!BC162&lt;&gt;""),ROW('🧪 INVENTAIRE'!B162),"")</f>
        <v/>
      </c>
      <c r="C161" s="0" t="str">
        <f aca="false">IF('🧪 INVENTAIRE'!B162="","",N('🧪 INVENTAIRE'!O162)+ROW()/1000000)</f>
        <v/>
      </c>
    </row>
    <row r="162" customFormat="false" ht="15" hidden="false" customHeight="false" outlineLevel="0" collapsed="false">
      <c r="A162" s="0" t="n">
        <f aca="false">IF('🧪 INVENTAIRE'!B163="",9000000000000000,IF('🧪 INVENTAIRE'!AJ163="",8000000000000000+ROW(),'🧪 INVENTAIRE'!AJ163*100000+ROW()))</f>
        <v>9000000000000000</v>
      </c>
      <c r="B162" s="0" t="str">
        <f aca="false">IF(AND('🧪 INVENTAIRE'!B163&lt;&gt;"",'🧪 INVENTAIRE'!BC163&lt;&gt;""),ROW('🧪 INVENTAIRE'!B163),"")</f>
        <v/>
      </c>
      <c r="C162" s="0" t="str">
        <f aca="false">IF('🧪 INVENTAIRE'!B163="","",N('🧪 INVENTAIRE'!O163)+ROW()/1000000)</f>
        <v/>
      </c>
    </row>
    <row r="163" customFormat="false" ht="15" hidden="false" customHeight="false" outlineLevel="0" collapsed="false">
      <c r="A163" s="0" t="n">
        <f aca="false">IF('🧪 INVENTAIRE'!B164="",9000000000000000,IF('🧪 INVENTAIRE'!AJ164="",8000000000000000+ROW(),'🧪 INVENTAIRE'!AJ164*100000+ROW()))</f>
        <v>9000000000000000</v>
      </c>
      <c r="B163" s="0" t="str">
        <f aca="false">IF(AND('🧪 INVENTAIRE'!B164&lt;&gt;"",'🧪 INVENTAIRE'!BC164&lt;&gt;""),ROW('🧪 INVENTAIRE'!B164),"")</f>
        <v/>
      </c>
      <c r="C163" s="0" t="str">
        <f aca="false">IF('🧪 INVENTAIRE'!B164="","",N('🧪 INVENTAIRE'!O164)+ROW()/1000000)</f>
        <v/>
      </c>
    </row>
    <row r="164" customFormat="false" ht="15" hidden="false" customHeight="false" outlineLevel="0" collapsed="false">
      <c r="A164" s="0" t="n">
        <f aca="false">IF('🧪 INVENTAIRE'!B165="",9000000000000000,IF('🧪 INVENTAIRE'!AJ165="",8000000000000000+ROW(),'🧪 INVENTAIRE'!AJ165*100000+ROW()))</f>
        <v>9000000000000000</v>
      </c>
      <c r="B164" s="0" t="str">
        <f aca="false">IF(AND('🧪 INVENTAIRE'!B165&lt;&gt;"",'🧪 INVENTAIRE'!BC165&lt;&gt;""),ROW('🧪 INVENTAIRE'!B165),"")</f>
        <v/>
      </c>
      <c r="C164" s="0" t="str">
        <f aca="false">IF('🧪 INVENTAIRE'!B165="","",N('🧪 INVENTAIRE'!O165)+ROW()/1000000)</f>
        <v/>
      </c>
    </row>
    <row r="165" customFormat="false" ht="15" hidden="false" customHeight="false" outlineLevel="0" collapsed="false">
      <c r="A165" s="0" t="n">
        <f aca="false">IF('🧪 INVENTAIRE'!B166="",9000000000000000,IF('🧪 INVENTAIRE'!AJ166="",8000000000000000+ROW(),'🧪 INVENTAIRE'!AJ166*100000+ROW()))</f>
        <v>9000000000000000</v>
      </c>
      <c r="B165" s="0" t="str">
        <f aca="false">IF(AND('🧪 INVENTAIRE'!B166&lt;&gt;"",'🧪 INVENTAIRE'!BC166&lt;&gt;""),ROW('🧪 INVENTAIRE'!B166),"")</f>
        <v/>
      </c>
      <c r="C165" s="0" t="str">
        <f aca="false">IF('🧪 INVENTAIRE'!B166="","",N('🧪 INVENTAIRE'!O166)+ROW()/1000000)</f>
        <v/>
      </c>
    </row>
    <row r="166" customFormat="false" ht="15" hidden="false" customHeight="false" outlineLevel="0" collapsed="false">
      <c r="A166" s="0" t="n">
        <f aca="false">IF('🧪 INVENTAIRE'!B167="",9000000000000000,IF('🧪 INVENTAIRE'!AJ167="",8000000000000000+ROW(),'🧪 INVENTAIRE'!AJ167*100000+ROW()))</f>
        <v>9000000000000000</v>
      </c>
      <c r="B166" s="0" t="str">
        <f aca="false">IF(AND('🧪 INVENTAIRE'!B167&lt;&gt;"",'🧪 INVENTAIRE'!BC167&lt;&gt;""),ROW('🧪 INVENTAIRE'!B167),"")</f>
        <v/>
      </c>
      <c r="C166" s="0" t="str">
        <f aca="false">IF('🧪 INVENTAIRE'!B167="","",N('🧪 INVENTAIRE'!O167)+ROW()/1000000)</f>
        <v/>
      </c>
    </row>
    <row r="167" customFormat="false" ht="15" hidden="false" customHeight="false" outlineLevel="0" collapsed="false">
      <c r="A167" s="0" t="n">
        <f aca="false">IF('🧪 INVENTAIRE'!B168="",9000000000000000,IF('🧪 INVENTAIRE'!AJ168="",8000000000000000+ROW(),'🧪 INVENTAIRE'!AJ168*100000+ROW()))</f>
        <v>9000000000000000</v>
      </c>
      <c r="B167" s="0" t="str">
        <f aca="false">IF(AND('🧪 INVENTAIRE'!B168&lt;&gt;"",'🧪 INVENTAIRE'!BC168&lt;&gt;""),ROW('🧪 INVENTAIRE'!B168),"")</f>
        <v/>
      </c>
      <c r="C167" s="0" t="str">
        <f aca="false">IF('🧪 INVENTAIRE'!B168="","",N('🧪 INVENTAIRE'!O168)+ROW()/1000000)</f>
        <v/>
      </c>
    </row>
    <row r="168" customFormat="false" ht="15" hidden="false" customHeight="false" outlineLevel="0" collapsed="false">
      <c r="A168" s="0" t="n">
        <f aca="false">IF('🧪 INVENTAIRE'!B169="",9000000000000000,IF('🧪 INVENTAIRE'!AJ169="",8000000000000000+ROW(),'🧪 INVENTAIRE'!AJ169*100000+ROW()))</f>
        <v>9000000000000000</v>
      </c>
      <c r="B168" s="0" t="str">
        <f aca="false">IF(AND('🧪 INVENTAIRE'!B169&lt;&gt;"",'🧪 INVENTAIRE'!BC169&lt;&gt;""),ROW('🧪 INVENTAIRE'!B169),"")</f>
        <v/>
      </c>
      <c r="C168" s="0" t="str">
        <f aca="false">IF('🧪 INVENTAIRE'!B169="","",N('🧪 INVENTAIRE'!O169)+ROW()/1000000)</f>
        <v/>
      </c>
    </row>
    <row r="169" customFormat="false" ht="15" hidden="false" customHeight="false" outlineLevel="0" collapsed="false">
      <c r="A169" s="0" t="n">
        <f aca="false">IF('🧪 INVENTAIRE'!B170="",9000000000000000,IF('🧪 INVENTAIRE'!AJ170="",8000000000000000+ROW(),'🧪 INVENTAIRE'!AJ170*100000+ROW()))</f>
        <v>9000000000000000</v>
      </c>
      <c r="B169" s="0" t="str">
        <f aca="false">IF(AND('🧪 INVENTAIRE'!B170&lt;&gt;"",'🧪 INVENTAIRE'!BC170&lt;&gt;""),ROW('🧪 INVENTAIRE'!B170),"")</f>
        <v/>
      </c>
      <c r="C169" s="0" t="str">
        <f aca="false">IF('🧪 INVENTAIRE'!B170="","",N('🧪 INVENTAIRE'!O170)+ROW()/1000000)</f>
        <v/>
      </c>
    </row>
    <row r="170" customFormat="false" ht="15" hidden="false" customHeight="false" outlineLevel="0" collapsed="false">
      <c r="A170" s="0" t="n">
        <f aca="false">IF('🧪 INVENTAIRE'!B171="",9000000000000000,IF('🧪 INVENTAIRE'!AJ171="",8000000000000000+ROW(),'🧪 INVENTAIRE'!AJ171*100000+ROW()))</f>
        <v>9000000000000000</v>
      </c>
      <c r="B170" s="0" t="str">
        <f aca="false">IF(AND('🧪 INVENTAIRE'!B171&lt;&gt;"",'🧪 INVENTAIRE'!BC171&lt;&gt;""),ROW('🧪 INVENTAIRE'!B171),"")</f>
        <v/>
      </c>
      <c r="C170" s="0" t="str">
        <f aca="false">IF('🧪 INVENTAIRE'!B171="","",N('🧪 INVENTAIRE'!O171)+ROW()/1000000)</f>
        <v/>
      </c>
    </row>
    <row r="171" customFormat="false" ht="15" hidden="false" customHeight="false" outlineLevel="0" collapsed="false">
      <c r="A171" s="0" t="n">
        <f aca="false">IF('🧪 INVENTAIRE'!B172="",9000000000000000,IF('🧪 INVENTAIRE'!AJ172="",8000000000000000+ROW(),'🧪 INVENTAIRE'!AJ172*100000+ROW()))</f>
        <v>9000000000000000</v>
      </c>
      <c r="B171" s="0" t="str">
        <f aca="false">IF(AND('🧪 INVENTAIRE'!B172&lt;&gt;"",'🧪 INVENTAIRE'!BC172&lt;&gt;""),ROW('🧪 INVENTAIRE'!B172),"")</f>
        <v/>
      </c>
      <c r="C171" s="0" t="str">
        <f aca="false">IF('🧪 INVENTAIRE'!B172="","",N('🧪 INVENTAIRE'!O172)+ROW()/1000000)</f>
        <v/>
      </c>
    </row>
    <row r="172" customFormat="false" ht="15" hidden="false" customHeight="false" outlineLevel="0" collapsed="false">
      <c r="A172" s="0" t="n">
        <f aca="false">IF('🧪 INVENTAIRE'!B173="",9000000000000000,IF('🧪 INVENTAIRE'!AJ173="",8000000000000000+ROW(),'🧪 INVENTAIRE'!AJ173*100000+ROW()))</f>
        <v>9000000000000000</v>
      </c>
      <c r="B172" s="0" t="str">
        <f aca="false">IF(AND('🧪 INVENTAIRE'!B173&lt;&gt;"",'🧪 INVENTAIRE'!BC173&lt;&gt;""),ROW('🧪 INVENTAIRE'!B173),"")</f>
        <v/>
      </c>
      <c r="C172" s="0" t="str">
        <f aca="false">IF('🧪 INVENTAIRE'!B173="","",N('🧪 INVENTAIRE'!O173)+ROW()/1000000)</f>
        <v/>
      </c>
    </row>
    <row r="173" customFormat="false" ht="15" hidden="false" customHeight="false" outlineLevel="0" collapsed="false">
      <c r="A173" s="0" t="n">
        <f aca="false">IF('🧪 INVENTAIRE'!B174="",9000000000000000,IF('🧪 INVENTAIRE'!AJ174="",8000000000000000+ROW(),'🧪 INVENTAIRE'!AJ174*100000+ROW()))</f>
        <v>9000000000000000</v>
      </c>
      <c r="B173" s="0" t="str">
        <f aca="false">IF(AND('🧪 INVENTAIRE'!B174&lt;&gt;"",'🧪 INVENTAIRE'!BC174&lt;&gt;""),ROW('🧪 INVENTAIRE'!B174),"")</f>
        <v/>
      </c>
      <c r="C173" s="0" t="str">
        <f aca="false">IF('🧪 INVENTAIRE'!B174="","",N('🧪 INVENTAIRE'!O174)+ROW()/1000000)</f>
        <v/>
      </c>
    </row>
    <row r="174" customFormat="false" ht="15" hidden="false" customHeight="false" outlineLevel="0" collapsed="false">
      <c r="A174" s="0" t="n">
        <f aca="false">IF('🧪 INVENTAIRE'!B175="",9000000000000000,IF('🧪 INVENTAIRE'!AJ175="",8000000000000000+ROW(),'🧪 INVENTAIRE'!AJ175*100000+ROW()))</f>
        <v>9000000000000000</v>
      </c>
      <c r="B174" s="0" t="str">
        <f aca="false">IF(AND('🧪 INVENTAIRE'!B175&lt;&gt;"",'🧪 INVENTAIRE'!BC175&lt;&gt;""),ROW('🧪 INVENTAIRE'!B175),"")</f>
        <v/>
      </c>
      <c r="C174" s="0" t="str">
        <f aca="false">IF('🧪 INVENTAIRE'!B175="","",N('🧪 INVENTAIRE'!O175)+ROW()/1000000)</f>
        <v/>
      </c>
    </row>
    <row r="175" customFormat="false" ht="15" hidden="false" customHeight="false" outlineLevel="0" collapsed="false">
      <c r="A175" s="0" t="n">
        <f aca="false">IF('🧪 INVENTAIRE'!B176="",9000000000000000,IF('🧪 INVENTAIRE'!AJ176="",8000000000000000+ROW(),'🧪 INVENTAIRE'!AJ176*100000+ROW()))</f>
        <v>9000000000000000</v>
      </c>
      <c r="B175" s="0" t="str">
        <f aca="false">IF(AND('🧪 INVENTAIRE'!B176&lt;&gt;"",'🧪 INVENTAIRE'!BC176&lt;&gt;""),ROW('🧪 INVENTAIRE'!B176),"")</f>
        <v/>
      </c>
      <c r="C175" s="0" t="str">
        <f aca="false">IF('🧪 INVENTAIRE'!B176="","",N('🧪 INVENTAIRE'!O176)+ROW()/1000000)</f>
        <v/>
      </c>
    </row>
    <row r="176" customFormat="false" ht="15" hidden="false" customHeight="false" outlineLevel="0" collapsed="false">
      <c r="A176" s="0" t="n">
        <f aca="false">IF('🧪 INVENTAIRE'!B177="",9000000000000000,IF('🧪 INVENTAIRE'!AJ177="",8000000000000000+ROW(),'🧪 INVENTAIRE'!AJ177*100000+ROW()))</f>
        <v>9000000000000000</v>
      </c>
      <c r="B176" s="0" t="str">
        <f aca="false">IF(AND('🧪 INVENTAIRE'!B177&lt;&gt;"",'🧪 INVENTAIRE'!BC177&lt;&gt;""),ROW('🧪 INVENTAIRE'!B177),"")</f>
        <v/>
      </c>
      <c r="C176" s="0" t="str">
        <f aca="false">IF('🧪 INVENTAIRE'!B177="","",N('🧪 INVENTAIRE'!O177)+ROW()/1000000)</f>
        <v/>
      </c>
    </row>
    <row r="177" customFormat="false" ht="15" hidden="false" customHeight="false" outlineLevel="0" collapsed="false">
      <c r="A177" s="0" t="n">
        <f aca="false">IF('🧪 INVENTAIRE'!B178="",9000000000000000,IF('🧪 INVENTAIRE'!AJ178="",8000000000000000+ROW(),'🧪 INVENTAIRE'!AJ178*100000+ROW()))</f>
        <v>9000000000000000</v>
      </c>
      <c r="B177" s="0" t="str">
        <f aca="false">IF(AND('🧪 INVENTAIRE'!B178&lt;&gt;"",'🧪 INVENTAIRE'!BC178&lt;&gt;""),ROW('🧪 INVENTAIRE'!B178),"")</f>
        <v/>
      </c>
      <c r="C177" s="0" t="str">
        <f aca="false">IF('🧪 INVENTAIRE'!B178="","",N('🧪 INVENTAIRE'!O178)+ROW()/1000000)</f>
        <v/>
      </c>
    </row>
    <row r="178" customFormat="false" ht="15" hidden="false" customHeight="false" outlineLevel="0" collapsed="false">
      <c r="A178" s="0" t="n">
        <f aca="false">IF('🧪 INVENTAIRE'!B179="",9000000000000000,IF('🧪 INVENTAIRE'!AJ179="",8000000000000000+ROW(),'🧪 INVENTAIRE'!AJ179*100000+ROW()))</f>
        <v>9000000000000000</v>
      </c>
      <c r="B178" s="0" t="str">
        <f aca="false">IF(AND('🧪 INVENTAIRE'!B179&lt;&gt;"",'🧪 INVENTAIRE'!BC179&lt;&gt;""),ROW('🧪 INVENTAIRE'!B179),"")</f>
        <v/>
      </c>
      <c r="C178" s="0" t="str">
        <f aca="false">IF('🧪 INVENTAIRE'!B179="","",N('🧪 INVENTAIRE'!O179)+ROW()/1000000)</f>
        <v/>
      </c>
    </row>
    <row r="179" customFormat="false" ht="15" hidden="false" customHeight="false" outlineLevel="0" collapsed="false">
      <c r="A179" s="0" t="n">
        <f aca="false">IF('🧪 INVENTAIRE'!B180="",9000000000000000,IF('🧪 INVENTAIRE'!AJ180="",8000000000000000+ROW(),'🧪 INVENTAIRE'!AJ180*100000+ROW()))</f>
        <v>9000000000000000</v>
      </c>
      <c r="B179" s="0" t="str">
        <f aca="false">IF(AND('🧪 INVENTAIRE'!B180&lt;&gt;"",'🧪 INVENTAIRE'!BC180&lt;&gt;""),ROW('🧪 INVENTAIRE'!B180),"")</f>
        <v/>
      </c>
      <c r="C179" s="0" t="str">
        <f aca="false">IF('🧪 INVENTAIRE'!B180="","",N('🧪 INVENTAIRE'!O180)+ROW()/1000000)</f>
        <v/>
      </c>
    </row>
    <row r="180" customFormat="false" ht="15" hidden="false" customHeight="false" outlineLevel="0" collapsed="false">
      <c r="A180" s="0" t="n">
        <f aca="false">IF('🧪 INVENTAIRE'!B181="",9000000000000000,IF('🧪 INVENTAIRE'!AJ181="",8000000000000000+ROW(),'🧪 INVENTAIRE'!AJ181*100000+ROW()))</f>
        <v>9000000000000000</v>
      </c>
      <c r="B180" s="0" t="str">
        <f aca="false">IF(AND('🧪 INVENTAIRE'!B181&lt;&gt;"",'🧪 INVENTAIRE'!BC181&lt;&gt;""),ROW('🧪 INVENTAIRE'!B181),"")</f>
        <v/>
      </c>
      <c r="C180" s="0" t="str">
        <f aca="false">IF('🧪 INVENTAIRE'!B181="","",N('🧪 INVENTAIRE'!O181)+ROW()/1000000)</f>
        <v/>
      </c>
    </row>
    <row r="181" customFormat="false" ht="15" hidden="false" customHeight="false" outlineLevel="0" collapsed="false">
      <c r="A181" s="0" t="n">
        <f aca="false">IF('🧪 INVENTAIRE'!B182="",9000000000000000,IF('🧪 INVENTAIRE'!AJ182="",8000000000000000+ROW(),'🧪 INVENTAIRE'!AJ182*100000+ROW()))</f>
        <v>9000000000000000</v>
      </c>
      <c r="B181" s="0" t="str">
        <f aca="false">IF(AND('🧪 INVENTAIRE'!B182&lt;&gt;"",'🧪 INVENTAIRE'!BC182&lt;&gt;""),ROW('🧪 INVENTAIRE'!B182),"")</f>
        <v/>
      </c>
      <c r="C181" s="0" t="str">
        <f aca="false">IF('🧪 INVENTAIRE'!B182="","",N('🧪 INVENTAIRE'!O182)+ROW()/1000000)</f>
        <v/>
      </c>
    </row>
    <row r="182" customFormat="false" ht="15" hidden="false" customHeight="false" outlineLevel="0" collapsed="false">
      <c r="A182" s="0" t="n">
        <f aca="false">IF('🧪 INVENTAIRE'!B183="",9000000000000000,IF('🧪 INVENTAIRE'!AJ183="",8000000000000000+ROW(),'🧪 INVENTAIRE'!AJ183*100000+ROW()))</f>
        <v>9000000000000000</v>
      </c>
      <c r="B182" s="0" t="str">
        <f aca="false">IF(AND('🧪 INVENTAIRE'!B183&lt;&gt;"",'🧪 INVENTAIRE'!BC183&lt;&gt;""),ROW('🧪 INVENTAIRE'!B183),"")</f>
        <v/>
      </c>
      <c r="C182" s="0" t="str">
        <f aca="false">IF('🧪 INVENTAIRE'!B183="","",N('🧪 INVENTAIRE'!O183)+ROW()/1000000)</f>
        <v/>
      </c>
    </row>
    <row r="183" customFormat="false" ht="15" hidden="false" customHeight="false" outlineLevel="0" collapsed="false">
      <c r="A183" s="0" t="n">
        <f aca="false">IF('🧪 INVENTAIRE'!B184="",9000000000000000,IF('🧪 INVENTAIRE'!AJ184="",8000000000000000+ROW(),'🧪 INVENTAIRE'!AJ184*100000+ROW()))</f>
        <v>9000000000000000</v>
      </c>
      <c r="B183" s="0" t="str">
        <f aca="false">IF(AND('🧪 INVENTAIRE'!B184&lt;&gt;"",'🧪 INVENTAIRE'!BC184&lt;&gt;""),ROW('🧪 INVENTAIRE'!B184),"")</f>
        <v/>
      </c>
      <c r="C183" s="0" t="str">
        <f aca="false">IF('🧪 INVENTAIRE'!B184="","",N('🧪 INVENTAIRE'!O184)+ROW()/1000000)</f>
        <v/>
      </c>
    </row>
    <row r="184" customFormat="false" ht="15" hidden="false" customHeight="false" outlineLevel="0" collapsed="false">
      <c r="A184" s="0" t="n">
        <f aca="false">IF('🧪 INVENTAIRE'!B185="",9000000000000000,IF('🧪 INVENTAIRE'!AJ185="",8000000000000000+ROW(),'🧪 INVENTAIRE'!AJ185*100000+ROW()))</f>
        <v>9000000000000000</v>
      </c>
      <c r="B184" s="0" t="str">
        <f aca="false">IF(AND('🧪 INVENTAIRE'!B185&lt;&gt;"",'🧪 INVENTAIRE'!BC185&lt;&gt;""),ROW('🧪 INVENTAIRE'!B185),"")</f>
        <v/>
      </c>
      <c r="C184" s="0" t="str">
        <f aca="false">IF('🧪 INVENTAIRE'!B185="","",N('🧪 INVENTAIRE'!O185)+ROW()/1000000)</f>
        <v/>
      </c>
    </row>
    <row r="185" customFormat="false" ht="15" hidden="false" customHeight="false" outlineLevel="0" collapsed="false">
      <c r="A185" s="0" t="n">
        <f aca="false">IF('🧪 INVENTAIRE'!B186="",9000000000000000,IF('🧪 INVENTAIRE'!AJ186="",8000000000000000+ROW(),'🧪 INVENTAIRE'!AJ186*100000+ROW()))</f>
        <v>9000000000000000</v>
      </c>
      <c r="B185" s="0" t="str">
        <f aca="false">IF(AND('🧪 INVENTAIRE'!B186&lt;&gt;"",'🧪 INVENTAIRE'!BC186&lt;&gt;""),ROW('🧪 INVENTAIRE'!B186),"")</f>
        <v/>
      </c>
      <c r="C185" s="0" t="str">
        <f aca="false">IF('🧪 INVENTAIRE'!B186="","",N('🧪 INVENTAIRE'!O186)+ROW()/1000000)</f>
        <v/>
      </c>
    </row>
    <row r="186" customFormat="false" ht="15" hidden="false" customHeight="false" outlineLevel="0" collapsed="false">
      <c r="A186" s="0" t="n">
        <f aca="false">IF('🧪 INVENTAIRE'!B187="",9000000000000000,IF('🧪 INVENTAIRE'!AJ187="",8000000000000000+ROW(),'🧪 INVENTAIRE'!AJ187*100000+ROW()))</f>
        <v>9000000000000000</v>
      </c>
      <c r="B186" s="0" t="str">
        <f aca="false">IF(AND('🧪 INVENTAIRE'!B187&lt;&gt;"",'🧪 INVENTAIRE'!BC187&lt;&gt;""),ROW('🧪 INVENTAIRE'!B187),"")</f>
        <v/>
      </c>
      <c r="C186" s="0" t="str">
        <f aca="false">IF('🧪 INVENTAIRE'!B187="","",N('🧪 INVENTAIRE'!O187)+ROW()/1000000)</f>
        <v/>
      </c>
    </row>
    <row r="187" customFormat="false" ht="15" hidden="false" customHeight="false" outlineLevel="0" collapsed="false">
      <c r="A187" s="0" t="n">
        <f aca="false">IF('🧪 INVENTAIRE'!B188="",9000000000000000,IF('🧪 INVENTAIRE'!AJ188="",8000000000000000+ROW(),'🧪 INVENTAIRE'!AJ188*100000+ROW()))</f>
        <v>9000000000000000</v>
      </c>
      <c r="B187" s="0" t="str">
        <f aca="false">IF(AND('🧪 INVENTAIRE'!B188&lt;&gt;"",'🧪 INVENTAIRE'!BC188&lt;&gt;""),ROW('🧪 INVENTAIRE'!B188),"")</f>
        <v/>
      </c>
      <c r="C187" s="0" t="str">
        <f aca="false">IF('🧪 INVENTAIRE'!B188="","",N('🧪 INVENTAIRE'!O188)+ROW()/1000000)</f>
        <v/>
      </c>
    </row>
    <row r="188" customFormat="false" ht="15" hidden="false" customHeight="false" outlineLevel="0" collapsed="false">
      <c r="A188" s="0" t="n">
        <f aca="false">IF('🧪 INVENTAIRE'!B189="",9000000000000000,IF('🧪 INVENTAIRE'!AJ189="",8000000000000000+ROW(),'🧪 INVENTAIRE'!AJ189*100000+ROW()))</f>
        <v>9000000000000000</v>
      </c>
      <c r="B188" s="0" t="str">
        <f aca="false">IF(AND('🧪 INVENTAIRE'!B189&lt;&gt;"",'🧪 INVENTAIRE'!BC189&lt;&gt;""),ROW('🧪 INVENTAIRE'!B189),"")</f>
        <v/>
      </c>
      <c r="C188" s="0" t="str">
        <f aca="false">IF('🧪 INVENTAIRE'!B189="","",N('🧪 INVENTAIRE'!O189)+ROW()/1000000)</f>
        <v/>
      </c>
    </row>
    <row r="189" customFormat="false" ht="15" hidden="false" customHeight="false" outlineLevel="0" collapsed="false">
      <c r="A189" s="0" t="n">
        <f aca="false">IF('🧪 INVENTAIRE'!B190="",9000000000000000,IF('🧪 INVENTAIRE'!AJ190="",8000000000000000+ROW(),'🧪 INVENTAIRE'!AJ190*100000+ROW()))</f>
        <v>9000000000000000</v>
      </c>
      <c r="B189" s="0" t="str">
        <f aca="false">IF(AND('🧪 INVENTAIRE'!B190&lt;&gt;"",'🧪 INVENTAIRE'!BC190&lt;&gt;""),ROW('🧪 INVENTAIRE'!B190),"")</f>
        <v/>
      </c>
      <c r="C189" s="0" t="str">
        <f aca="false">IF('🧪 INVENTAIRE'!B190="","",N('🧪 INVENTAIRE'!O190)+ROW()/1000000)</f>
        <v/>
      </c>
    </row>
    <row r="190" customFormat="false" ht="15" hidden="false" customHeight="false" outlineLevel="0" collapsed="false">
      <c r="A190" s="0" t="n">
        <f aca="false">IF('🧪 INVENTAIRE'!B191="",9000000000000000,IF('🧪 INVENTAIRE'!AJ191="",8000000000000000+ROW(),'🧪 INVENTAIRE'!AJ191*100000+ROW()))</f>
        <v>9000000000000000</v>
      </c>
      <c r="B190" s="0" t="str">
        <f aca="false">IF(AND('🧪 INVENTAIRE'!B191&lt;&gt;"",'🧪 INVENTAIRE'!BC191&lt;&gt;""),ROW('🧪 INVENTAIRE'!B191),"")</f>
        <v/>
      </c>
      <c r="C190" s="0" t="str">
        <f aca="false">IF('🧪 INVENTAIRE'!B191="","",N('🧪 INVENTAIRE'!O191)+ROW()/1000000)</f>
        <v/>
      </c>
    </row>
    <row r="191" customFormat="false" ht="15" hidden="false" customHeight="false" outlineLevel="0" collapsed="false">
      <c r="A191" s="0" t="n">
        <f aca="false">IF('🧪 INVENTAIRE'!B192="",9000000000000000,IF('🧪 INVENTAIRE'!AJ192="",8000000000000000+ROW(),'🧪 INVENTAIRE'!AJ192*100000+ROW()))</f>
        <v>9000000000000000</v>
      </c>
      <c r="B191" s="0" t="str">
        <f aca="false">IF(AND('🧪 INVENTAIRE'!B192&lt;&gt;"",'🧪 INVENTAIRE'!BC192&lt;&gt;""),ROW('🧪 INVENTAIRE'!B192),"")</f>
        <v/>
      </c>
      <c r="C191" s="0" t="str">
        <f aca="false">IF('🧪 INVENTAIRE'!B192="","",N('🧪 INVENTAIRE'!O192)+ROW()/1000000)</f>
        <v/>
      </c>
    </row>
    <row r="192" customFormat="false" ht="15" hidden="false" customHeight="false" outlineLevel="0" collapsed="false">
      <c r="A192" s="0" t="n">
        <f aca="false">IF('🧪 INVENTAIRE'!B193="",9000000000000000,IF('🧪 INVENTAIRE'!AJ193="",8000000000000000+ROW(),'🧪 INVENTAIRE'!AJ193*100000+ROW()))</f>
        <v>9000000000000000</v>
      </c>
      <c r="B192" s="0" t="str">
        <f aca="false">IF(AND('🧪 INVENTAIRE'!B193&lt;&gt;"",'🧪 INVENTAIRE'!BC193&lt;&gt;""),ROW('🧪 INVENTAIRE'!B193),"")</f>
        <v/>
      </c>
      <c r="C192" s="0" t="str">
        <f aca="false">IF('🧪 INVENTAIRE'!B193="","",N('🧪 INVENTAIRE'!O193)+ROW()/1000000)</f>
        <v/>
      </c>
    </row>
    <row r="193" customFormat="false" ht="15" hidden="false" customHeight="false" outlineLevel="0" collapsed="false">
      <c r="A193" s="0" t="n">
        <f aca="false">IF('🧪 INVENTAIRE'!B194="",9000000000000000,IF('🧪 INVENTAIRE'!AJ194="",8000000000000000+ROW(),'🧪 INVENTAIRE'!AJ194*100000+ROW()))</f>
        <v>9000000000000000</v>
      </c>
      <c r="B193" s="0" t="str">
        <f aca="false">IF(AND('🧪 INVENTAIRE'!B194&lt;&gt;"",'🧪 INVENTAIRE'!BC194&lt;&gt;""),ROW('🧪 INVENTAIRE'!B194),"")</f>
        <v/>
      </c>
      <c r="C193" s="0" t="str">
        <f aca="false">IF('🧪 INVENTAIRE'!B194="","",N('🧪 INVENTAIRE'!O194)+ROW()/1000000)</f>
        <v/>
      </c>
    </row>
    <row r="194" customFormat="false" ht="15" hidden="false" customHeight="false" outlineLevel="0" collapsed="false">
      <c r="A194" s="0" t="n">
        <f aca="false">IF('🧪 INVENTAIRE'!B195="",9000000000000000,IF('🧪 INVENTAIRE'!AJ195="",8000000000000000+ROW(),'🧪 INVENTAIRE'!AJ195*100000+ROW()))</f>
        <v>9000000000000000</v>
      </c>
      <c r="B194" s="0" t="str">
        <f aca="false">IF(AND('🧪 INVENTAIRE'!B195&lt;&gt;"",'🧪 INVENTAIRE'!BC195&lt;&gt;""),ROW('🧪 INVENTAIRE'!B195),"")</f>
        <v/>
      </c>
      <c r="C194" s="0" t="str">
        <f aca="false">IF('🧪 INVENTAIRE'!B195="","",N('🧪 INVENTAIRE'!O195)+ROW()/1000000)</f>
        <v/>
      </c>
    </row>
    <row r="195" customFormat="false" ht="15" hidden="false" customHeight="false" outlineLevel="0" collapsed="false">
      <c r="A195" s="0" t="n">
        <f aca="false">IF('🧪 INVENTAIRE'!B196="",9000000000000000,IF('🧪 INVENTAIRE'!AJ196="",8000000000000000+ROW(),'🧪 INVENTAIRE'!AJ196*100000+ROW()))</f>
        <v>9000000000000000</v>
      </c>
      <c r="B195" s="0" t="str">
        <f aca="false">IF(AND('🧪 INVENTAIRE'!B196&lt;&gt;"",'🧪 INVENTAIRE'!BC196&lt;&gt;""),ROW('🧪 INVENTAIRE'!B196),"")</f>
        <v/>
      </c>
      <c r="C195" s="0" t="str">
        <f aca="false">IF('🧪 INVENTAIRE'!B196="","",N('🧪 INVENTAIRE'!O196)+ROW()/1000000)</f>
        <v/>
      </c>
    </row>
    <row r="196" customFormat="false" ht="15" hidden="false" customHeight="false" outlineLevel="0" collapsed="false">
      <c r="A196" s="0" t="n">
        <f aca="false">IF('🧪 INVENTAIRE'!B197="",9000000000000000,IF('🧪 INVENTAIRE'!AJ197="",8000000000000000+ROW(),'🧪 INVENTAIRE'!AJ197*100000+ROW()))</f>
        <v>9000000000000000</v>
      </c>
      <c r="B196" s="0" t="str">
        <f aca="false">IF(AND('🧪 INVENTAIRE'!B197&lt;&gt;"",'🧪 INVENTAIRE'!BC197&lt;&gt;""),ROW('🧪 INVENTAIRE'!B197),"")</f>
        <v/>
      </c>
      <c r="C196" s="0" t="str">
        <f aca="false">IF('🧪 INVENTAIRE'!B197="","",N('🧪 INVENTAIRE'!O197)+ROW()/1000000)</f>
        <v/>
      </c>
    </row>
    <row r="197" customFormat="false" ht="15" hidden="false" customHeight="false" outlineLevel="0" collapsed="false">
      <c r="A197" s="0" t="n">
        <f aca="false">IF('🧪 INVENTAIRE'!B198="",9000000000000000,IF('🧪 INVENTAIRE'!AJ198="",8000000000000000+ROW(),'🧪 INVENTAIRE'!AJ198*100000+ROW()))</f>
        <v>9000000000000000</v>
      </c>
      <c r="B197" s="0" t="str">
        <f aca="false">IF(AND('🧪 INVENTAIRE'!B198&lt;&gt;"",'🧪 INVENTAIRE'!BC198&lt;&gt;""),ROW('🧪 INVENTAIRE'!B198),"")</f>
        <v/>
      </c>
      <c r="C197" s="0" t="str">
        <f aca="false">IF('🧪 INVENTAIRE'!B198="","",N('🧪 INVENTAIRE'!O198)+ROW()/1000000)</f>
        <v/>
      </c>
    </row>
    <row r="198" customFormat="false" ht="15" hidden="false" customHeight="false" outlineLevel="0" collapsed="false">
      <c r="A198" s="0" t="n">
        <f aca="false">IF('🧪 INVENTAIRE'!B199="",9000000000000000,IF('🧪 INVENTAIRE'!AJ199="",8000000000000000+ROW(),'🧪 INVENTAIRE'!AJ199*100000+ROW()))</f>
        <v>9000000000000000</v>
      </c>
      <c r="B198" s="0" t="str">
        <f aca="false">IF(AND('🧪 INVENTAIRE'!B199&lt;&gt;"",'🧪 INVENTAIRE'!BC199&lt;&gt;""),ROW('🧪 INVENTAIRE'!B199),"")</f>
        <v/>
      </c>
      <c r="C198" s="0" t="str">
        <f aca="false">IF('🧪 INVENTAIRE'!B199="","",N('🧪 INVENTAIRE'!O199)+ROW()/1000000)</f>
        <v/>
      </c>
    </row>
    <row r="199" customFormat="false" ht="15" hidden="false" customHeight="false" outlineLevel="0" collapsed="false">
      <c r="A199" s="0" t="n">
        <f aca="false">IF('🧪 INVENTAIRE'!B200="",9000000000000000,IF('🧪 INVENTAIRE'!AJ200="",8000000000000000+ROW(),'🧪 INVENTAIRE'!AJ200*100000+ROW()))</f>
        <v>9000000000000000</v>
      </c>
      <c r="B199" s="0" t="str">
        <f aca="false">IF(AND('🧪 INVENTAIRE'!B200&lt;&gt;"",'🧪 INVENTAIRE'!BC200&lt;&gt;""),ROW('🧪 INVENTAIRE'!B200),"")</f>
        <v/>
      </c>
      <c r="C199" s="0" t="str">
        <f aca="false">IF('🧪 INVENTAIRE'!B200="","",N('🧪 INVENTAIRE'!O200)+ROW()/1000000)</f>
        <v/>
      </c>
    </row>
    <row r="200" customFormat="false" ht="15" hidden="false" customHeight="false" outlineLevel="0" collapsed="false">
      <c r="A200" s="0" t="n">
        <f aca="false">IF('🧪 INVENTAIRE'!B201="",9000000000000000,IF('🧪 INVENTAIRE'!AJ201="",8000000000000000+ROW(),'🧪 INVENTAIRE'!AJ201*100000+ROW()))</f>
        <v>9000000000000000</v>
      </c>
      <c r="B200" s="0" t="str">
        <f aca="false">IF(AND('🧪 INVENTAIRE'!B201&lt;&gt;"",'🧪 INVENTAIRE'!BC201&lt;&gt;""),ROW('🧪 INVENTAIRE'!B201),"")</f>
        <v/>
      </c>
      <c r="C200" s="0" t="str">
        <f aca="false">IF('🧪 INVENTAIRE'!B201="","",N('🧪 INVENTAIRE'!O201)+ROW()/1000000)</f>
        <v/>
      </c>
    </row>
    <row r="201" customFormat="false" ht="15" hidden="false" customHeight="false" outlineLevel="0" collapsed="false">
      <c r="A201" s="0" t="n">
        <f aca="false">IF('🧪 INVENTAIRE'!B202="",9000000000000000,IF('🧪 INVENTAIRE'!AJ202="",8000000000000000+ROW(),'🧪 INVENTAIRE'!AJ202*100000+ROW()))</f>
        <v>9000000000000000</v>
      </c>
      <c r="B201" s="0" t="str">
        <f aca="false">IF(AND('🧪 INVENTAIRE'!B202&lt;&gt;"",'🧪 INVENTAIRE'!BC202&lt;&gt;""),ROW('🧪 INVENTAIRE'!B202),"")</f>
        <v/>
      </c>
      <c r="C201" s="0" t="str">
        <f aca="false">IF('🧪 INVENTAIRE'!B202="","",N('🧪 INVENTAIRE'!O202)+ROW()/1000000)</f>
        <v/>
      </c>
    </row>
    <row r="202" customFormat="false" ht="15" hidden="false" customHeight="false" outlineLevel="0" collapsed="false">
      <c r="A202" s="0" t="n">
        <f aca="false">IF('🧪 INVENTAIRE'!B203="",9000000000000000,IF('🧪 INVENTAIRE'!AJ203="",8000000000000000+ROW(),'🧪 INVENTAIRE'!AJ203*100000+ROW()))</f>
        <v>9000000000000000</v>
      </c>
      <c r="B202" s="0" t="str">
        <f aca="false">IF(AND('🧪 INVENTAIRE'!B203&lt;&gt;"",'🧪 INVENTAIRE'!BC203&lt;&gt;""),ROW('🧪 INVENTAIRE'!B203),"")</f>
        <v/>
      </c>
      <c r="C202" s="0" t="str">
        <f aca="false">IF('🧪 INVENTAIRE'!B203="","",N('🧪 INVENTAIRE'!O203)+ROW()/1000000)</f>
        <v/>
      </c>
    </row>
    <row r="203" customFormat="false" ht="15" hidden="false" customHeight="false" outlineLevel="0" collapsed="false">
      <c r="A203" s="0" t="n">
        <f aca="false">IF('🧪 INVENTAIRE'!B204="",9000000000000000,IF('🧪 INVENTAIRE'!AJ204="",8000000000000000+ROW(),'🧪 INVENTAIRE'!AJ204*100000+ROW()))</f>
        <v>9000000000000000</v>
      </c>
      <c r="B203" s="0" t="str">
        <f aca="false">IF(AND('🧪 INVENTAIRE'!B204&lt;&gt;"",'🧪 INVENTAIRE'!BC204&lt;&gt;""),ROW('🧪 INVENTAIRE'!B204),"")</f>
        <v/>
      </c>
      <c r="C203" s="0" t="str">
        <f aca="false">IF('🧪 INVENTAIRE'!B204="","",N('🧪 INVENTAIRE'!O204)+ROW()/1000000)</f>
        <v/>
      </c>
    </row>
    <row r="204" customFormat="false" ht="15" hidden="false" customHeight="false" outlineLevel="0" collapsed="false">
      <c r="A204" s="0" t="n">
        <f aca="false">IF('🧪 INVENTAIRE'!B205="",9000000000000000,IF('🧪 INVENTAIRE'!AJ205="",8000000000000000+ROW(),'🧪 INVENTAIRE'!AJ205*100000+ROW()))</f>
        <v>9000000000000000</v>
      </c>
      <c r="B204" s="0" t="str">
        <f aca="false">IF(AND('🧪 INVENTAIRE'!B205&lt;&gt;"",'🧪 INVENTAIRE'!BC205&lt;&gt;""),ROW('🧪 INVENTAIRE'!B205),"")</f>
        <v/>
      </c>
      <c r="C204" s="0" t="str">
        <f aca="false">IF('🧪 INVENTAIRE'!B205="","",N('🧪 INVENTAIRE'!O205)+ROW()/1000000)</f>
        <v/>
      </c>
    </row>
    <row r="205" customFormat="false" ht="15" hidden="false" customHeight="false" outlineLevel="0" collapsed="false">
      <c r="A205" s="0" t="n">
        <f aca="false">IF('🧪 INVENTAIRE'!B206="",9000000000000000,IF('🧪 INVENTAIRE'!AJ206="",8000000000000000+ROW(),'🧪 INVENTAIRE'!AJ206*100000+ROW()))</f>
        <v>9000000000000000</v>
      </c>
      <c r="B205" s="0" t="str">
        <f aca="false">IF(AND('🧪 INVENTAIRE'!B206&lt;&gt;"",'🧪 INVENTAIRE'!BC206&lt;&gt;""),ROW('🧪 INVENTAIRE'!B206),"")</f>
        <v/>
      </c>
      <c r="C205" s="0" t="str">
        <f aca="false">IF('🧪 INVENTAIRE'!B206="","",N('🧪 INVENTAIRE'!O206)+ROW()/1000000)</f>
        <v/>
      </c>
    </row>
    <row r="206" customFormat="false" ht="15" hidden="false" customHeight="false" outlineLevel="0" collapsed="false">
      <c r="A206" s="0" t="n">
        <f aca="false">IF('🧪 INVENTAIRE'!B207="",9000000000000000,IF('🧪 INVENTAIRE'!AJ207="",8000000000000000+ROW(),'🧪 INVENTAIRE'!AJ207*100000+ROW()))</f>
        <v>9000000000000000</v>
      </c>
      <c r="B206" s="0" t="str">
        <f aca="false">IF(AND('🧪 INVENTAIRE'!B207&lt;&gt;"",'🧪 INVENTAIRE'!BC207&lt;&gt;""),ROW('🧪 INVENTAIRE'!B207),"")</f>
        <v/>
      </c>
      <c r="C206" s="0" t="str">
        <f aca="false">IF('🧪 INVENTAIRE'!B207="","",N('🧪 INVENTAIRE'!O207)+ROW()/1000000)</f>
        <v/>
      </c>
    </row>
    <row r="207" customFormat="false" ht="15" hidden="false" customHeight="false" outlineLevel="0" collapsed="false">
      <c r="A207" s="0" t="n">
        <f aca="false">IF('🧪 INVENTAIRE'!B208="",9000000000000000,IF('🧪 INVENTAIRE'!AJ208="",8000000000000000+ROW(),'🧪 INVENTAIRE'!AJ208*100000+ROW()))</f>
        <v>9000000000000000</v>
      </c>
      <c r="B207" s="0" t="str">
        <f aca="false">IF(AND('🧪 INVENTAIRE'!B208&lt;&gt;"",'🧪 INVENTAIRE'!BC208&lt;&gt;""),ROW('🧪 INVENTAIRE'!B208),"")</f>
        <v/>
      </c>
      <c r="C207" s="0" t="str">
        <f aca="false">IF('🧪 INVENTAIRE'!B208="","",N('🧪 INVENTAIRE'!O208)+ROW()/1000000)</f>
        <v/>
      </c>
    </row>
    <row r="208" customFormat="false" ht="15" hidden="false" customHeight="false" outlineLevel="0" collapsed="false">
      <c r="A208" s="0" t="n">
        <f aca="false">IF('🧪 INVENTAIRE'!B209="",9000000000000000,IF('🧪 INVENTAIRE'!AJ209="",8000000000000000+ROW(),'🧪 INVENTAIRE'!AJ209*100000+ROW()))</f>
        <v>9000000000000000</v>
      </c>
      <c r="B208" s="0" t="str">
        <f aca="false">IF(AND('🧪 INVENTAIRE'!B209&lt;&gt;"",'🧪 INVENTAIRE'!BC209&lt;&gt;""),ROW('🧪 INVENTAIRE'!B209),"")</f>
        <v/>
      </c>
      <c r="C208" s="0" t="str">
        <f aca="false">IF('🧪 INVENTAIRE'!B209="","",N('🧪 INVENTAIRE'!O209)+ROW()/1000000)</f>
        <v/>
      </c>
    </row>
    <row r="209" customFormat="false" ht="15" hidden="false" customHeight="false" outlineLevel="0" collapsed="false">
      <c r="A209" s="0" t="n">
        <f aca="false">IF('🧪 INVENTAIRE'!B210="",9000000000000000,IF('🧪 INVENTAIRE'!AJ210="",8000000000000000+ROW(),'🧪 INVENTAIRE'!AJ210*100000+ROW()))</f>
        <v>9000000000000000</v>
      </c>
      <c r="B209" s="0" t="str">
        <f aca="false">IF(AND('🧪 INVENTAIRE'!B210&lt;&gt;"",'🧪 INVENTAIRE'!BC210&lt;&gt;""),ROW('🧪 INVENTAIRE'!B210),"")</f>
        <v/>
      </c>
      <c r="C209" s="0" t="str">
        <f aca="false">IF('🧪 INVENTAIRE'!B210="","",N('🧪 INVENTAIRE'!O210)+ROW()/1000000)</f>
        <v/>
      </c>
    </row>
    <row r="210" customFormat="false" ht="15" hidden="false" customHeight="false" outlineLevel="0" collapsed="false">
      <c r="A210" s="0" t="n">
        <f aca="false">IF('🧪 INVENTAIRE'!B211="",9000000000000000,IF('🧪 INVENTAIRE'!AJ211="",8000000000000000+ROW(),'🧪 INVENTAIRE'!AJ211*100000+ROW()))</f>
        <v>9000000000000000</v>
      </c>
      <c r="B210" s="0" t="str">
        <f aca="false">IF(AND('🧪 INVENTAIRE'!B211&lt;&gt;"",'🧪 INVENTAIRE'!BC211&lt;&gt;""),ROW('🧪 INVENTAIRE'!B211),"")</f>
        <v/>
      </c>
      <c r="C210" s="0" t="str">
        <f aca="false">IF('🧪 INVENTAIRE'!B211="","",N('🧪 INVENTAIRE'!O211)+ROW()/1000000)</f>
        <v/>
      </c>
    </row>
    <row r="211" customFormat="false" ht="15" hidden="false" customHeight="false" outlineLevel="0" collapsed="false">
      <c r="A211" s="0" t="n">
        <f aca="false">IF('🧪 INVENTAIRE'!B212="",9000000000000000,IF('🧪 INVENTAIRE'!AJ212="",8000000000000000+ROW(),'🧪 INVENTAIRE'!AJ212*100000+ROW()))</f>
        <v>9000000000000000</v>
      </c>
      <c r="B211" s="0" t="str">
        <f aca="false">IF(AND('🧪 INVENTAIRE'!B212&lt;&gt;"",'🧪 INVENTAIRE'!BC212&lt;&gt;""),ROW('🧪 INVENTAIRE'!B212),"")</f>
        <v/>
      </c>
      <c r="C211" s="0" t="str">
        <f aca="false">IF('🧪 INVENTAIRE'!B212="","",N('🧪 INVENTAIRE'!O212)+ROW()/1000000)</f>
        <v/>
      </c>
    </row>
    <row r="212" customFormat="false" ht="15" hidden="false" customHeight="false" outlineLevel="0" collapsed="false">
      <c r="A212" s="0" t="n">
        <f aca="false">IF('🧪 INVENTAIRE'!B213="",9000000000000000,IF('🧪 INVENTAIRE'!AJ213="",8000000000000000+ROW(),'🧪 INVENTAIRE'!AJ213*100000+ROW()))</f>
        <v>9000000000000000</v>
      </c>
      <c r="B212" s="0" t="str">
        <f aca="false">IF(AND('🧪 INVENTAIRE'!B213&lt;&gt;"",'🧪 INVENTAIRE'!BC213&lt;&gt;""),ROW('🧪 INVENTAIRE'!B213),"")</f>
        <v/>
      </c>
      <c r="C212" s="0" t="str">
        <f aca="false">IF('🧪 INVENTAIRE'!B213="","",N('🧪 INVENTAIRE'!O213)+ROW()/1000000)</f>
        <v/>
      </c>
    </row>
    <row r="213" customFormat="false" ht="15" hidden="false" customHeight="false" outlineLevel="0" collapsed="false">
      <c r="A213" s="0" t="n">
        <f aca="false">IF('🧪 INVENTAIRE'!B214="",9000000000000000,IF('🧪 INVENTAIRE'!AJ214="",8000000000000000+ROW(),'🧪 INVENTAIRE'!AJ214*100000+ROW()))</f>
        <v>9000000000000000</v>
      </c>
      <c r="B213" s="0" t="str">
        <f aca="false">IF(AND('🧪 INVENTAIRE'!B214&lt;&gt;"",'🧪 INVENTAIRE'!BC214&lt;&gt;""),ROW('🧪 INVENTAIRE'!B214),"")</f>
        <v/>
      </c>
      <c r="C213" s="0" t="str">
        <f aca="false">IF('🧪 INVENTAIRE'!B214="","",N('🧪 INVENTAIRE'!O214)+ROW()/1000000)</f>
        <v/>
      </c>
    </row>
    <row r="214" customFormat="false" ht="15" hidden="false" customHeight="false" outlineLevel="0" collapsed="false">
      <c r="A214" s="0" t="n">
        <f aca="false">IF('🧪 INVENTAIRE'!B215="",9000000000000000,IF('🧪 INVENTAIRE'!AJ215="",8000000000000000+ROW(),'🧪 INVENTAIRE'!AJ215*100000+ROW()))</f>
        <v>9000000000000000</v>
      </c>
      <c r="B214" s="0" t="str">
        <f aca="false">IF(AND('🧪 INVENTAIRE'!B215&lt;&gt;"",'🧪 INVENTAIRE'!BC215&lt;&gt;""),ROW('🧪 INVENTAIRE'!B215),"")</f>
        <v/>
      </c>
      <c r="C214" s="0" t="str">
        <f aca="false">IF('🧪 INVENTAIRE'!B215="","",N('🧪 INVENTAIRE'!O215)+ROW()/1000000)</f>
        <v/>
      </c>
    </row>
    <row r="215" customFormat="false" ht="15" hidden="false" customHeight="false" outlineLevel="0" collapsed="false">
      <c r="A215" s="0" t="n">
        <f aca="false">IF('🧪 INVENTAIRE'!B216="",9000000000000000,IF('🧪 INVENTAIRE'!AJ216="",8000000000000000+ROW(),'🧪 INVENTAIRE'!AJ216*100000+ROW()))</f>
        <v>9000000000000000</v>
      </c>
      <c r="B215" s="0" t="str">
        <f aca="false">IF(AND('🧪 INVENTAIRE'!B216&lt;&gt;"",'🧪 INVENTAIRE'!BC216&lt;&gt;""),ROW('🧪 INVENTAIRE'!B216),"")</f>
        <v/>
      </c>
      <c r="C215" s="0" t="str">
        <f aca="false">IF('🧪 INVENTAIRE'!B216="","",N('🧪 INVENTAIRE'!O216)+ROW()/1000000)</f>
        <v/>
      </c>
    </row>
    <row r="216" customFormat="false" ht="15" hidden="false" customHeight="false" outlineLevel="0" collapsed="false">
      <c r="A216" s="0" t="n">
        <f aca="false">IF('🧪 INVENTAIRE'!B217="",9000000000000000,IF('🧪 INVENTAIRE'!AJ217="",8000000000000000+ROW(),'🧪 INVENTAIRE'!AJ217*100000+ROW()))</f>
        <v>9000000000000000</v>
      </c>
      <c r="B216" s="0" t="str">
        <f aca="false">IF(AND('🧪 INVENTAIRE'!B217&lt;&gt;"",'🧪 INVENTAIRE'!BC217&lt;&gt;""),ROW('🧪 INVENTAIRE'!B217),"")</f>
        <v/>
      </c>
      <c r="C216" s="0" t="str">
        <f aca="false">IF('🧪 INVENTAIRE'!B217="","",N('🧪 INVENTAIRE'!O217)+ROW()/1000000)</f>
        <v/>
      </c>
    </row>
    <row r="217" customFormat="false" ht="15" hidden="false" customHeight="false" outlineLevel="0" collapsed="false">
      <c r="A217" s="0" t="n">
        <f aca="false">IF('🧪 INVENTAIRE'!B218="",9000000000000000,IF('🧪 INVENTAIRE'!AJ218="",8000000000000000+ROW(),'🧪 INVENTAIRE'!AJ218*100000+ROW()))</f>
        <v>9000000000000000</v>
      </c>
      <c r="B217" s="0" t="str">
        <f aca="false">IF(AND('🧪 INVENTAIRE'!B218&lt;&gt;"",'🧪 INVENTAIRE'!BC218&lt;&gt;""),ROW('🧪 INVENTAIRE'!B218),"")</f>
        <v/>
      </c>
      <c r="C217" s="0" t="str">
        <f aca="false">IF('🧪 INVENTAIRE'!B218="","",N('🧪 INVENTAIRE'!O218)+ROW()/1000000)</f>
        <v/>
      </c>
    </row>
    <row r="218" customFormat="false" ht="15" hidden="false" customHeight="false" outlineLevel="0" collapsed="false">
      <c r="A218" s="0" t="n">
        <f aca="false">IF('🧪 INVENTAIRE'!B219="",9000000000000000,IF('🧪 INVENTAIRE'!AJ219="",8000000000000000+ROW(),'🧪 INVENTAIRE'!AJ219*100000+ROW()))</f>
        <v>9000000000000000</v>
      </c>
      <c r="B218" s="0" t="str">
        <f aca="false">IF(AND('🧪 INVENTAIRE'!B219&lt;&gt;"",'🧪 INVENTAIRE'!BC219&lt;&gt;""),ROW('🧪 INVENTAIRE'!B219),"")</f>
        <v/>
      </c>
      <c r="C218" s="0" t="str">
        <f aca="false">IF('🧪 INVENTAIRE'!B219="","",N('🧪 INVENTAIRE'!O219)+ROW()/1000000)</f>
        <v/>
      </c>
    </row>
    <row r="219" customFormat="false" ht="15" hidden="false" customHeight="false" outlineLevel="0" collapsed="false">
      <c r="A219" s="0" t="n">
        <f aca="false">IF('🧪 INVENTAIRE'!B220="",9000000000000000,IF('🧪 INVENTAIRE'!AJ220="",8000000000000000+ROW(),'🧪 INVENTAIRE'!AJ220*100000+ROW()))</f>
        <v>9000000000000000</v>
      </c>
      <c r="B219" s="0" t="str">
        <f aca="false">IF(AND('🧪 INVENTAIRE'!B220&lt;&gt;"",'🧪 INVENTAIRE'!BC220&lt;&gt;""),ROW('🧪 INVENTAIRE'!B220),"")</f>
        <v/>
      </c>
      <c r="C219" s="0" t="str">
        <f aca="false">IF('🧪 INVENTAIRE'!B220="","",N('🧪 INVENTAIRE'!O220)+ROW()/1000000)</f>
        <v/>
      </c>
    </row>
    <row r="220" customFormat="false" ht="15" hidden="false" customHeight="false" outlineLevel="0" collapsed="false">
      <c r="A220" s="0" t="n">
        <f aca="false">IF('🧪 INVENTAIRE'!B221="",9000000000000000,IF('🧪 INVENTAIRE'!AJ221="",8000000000000000+ROW(),'🧪 INVENTAIRE'!AJ221*100000+ROW()))</f>
        <v>9000000000000000</v>
      </c>
      <c r="B220" s="0" t="str">
        <f aca="false">IF(AND('🧪 INVENTAIRE'!B221&lt;&gt;"",'🧪 INVENTAIRE'!BC221&lt;&gt;""),ROW('🧪 INVENTAIRE'!B221),"")</f>
        <v/>
      </c>
      <c r="C220" s="0" t="str">
        <f aca="false">IF('🧪 INVENTAIRE'!B221="","",N('🧪 INVENTAIRE'!O221)+ROW()/1000000)</f>
        <v/>
      </c>
    </row>
    <row r="221" customFormat="false" ht="15" hidden="false" customHeight="false" outlineLevel="0" collapsed="false">
      <c r="A221" s="0" t="n">
        <f aca="false">IF('🧪 INVENTAIRE'!B222="",9000000000000000,IF('🧪 INVENTAIRE'!AJ222="",8000000000000000+ROW(),'🧪 INVENTAIRE'!AJ222*100000+ROW()))</f>
        <v>9000000000000000</v>
      </c>
      <c r="B221" s="0" t="str">
        <f aca="false">IF(AND('🧪 INVENTAIRE'!B222&lt;&gt;"",'🧪 INVENTAIRE'!BC222&lt;&gt;""),ROW('🧪 INVENTAIRE'!B222),"")</f>
        <v/>
      </c>
      <c r="C221" s="0" t="str">
        <f aca="false">IF('🧪 INVENTAIRE'!B222="","",N('🧪 INVENTAIRE'!O222)+ROW()/1000000)</f>
        <v/>
      </c>
    </row>
    <row r="222" customFormat="false" ht="15" hidden="false" customHeight="false" outlineLevel="0" collapsed="false">
      <c r="A222" s="0" t="n">
        <f aca="false">IF('🧪 INVENTAIRE'!B223="",9000000000000000,IF('🧪 INVENTAIRE'!AJ223="",8000000000000000+ROW(),'🧪 INVENTAIRE'!AJ223*100000+ROW()))</f>
        <v>9000000000000000</v>
      </c>
      <c r="B222" s="0" t="str">
        <f aca="false">IF(AND('🧪 INVENTAIRE'!B223&lt;&gt;"",'🧪 INVENTAIRE'!BC223&lt;&gt;""),ROW('🧪 INVENTAIRE'!B223),"")</f>
        <v/>
      </c>
      <c r="C222" s="0" t="str">
        <f aca="false">IF('🧪 INVENTAIRE'!B223="","",N('🧪 INVENTAIRE'!O223)+ROW()/1000000)</f>
        <v/>
      </c>
    </row>
    <row r="223" customFormat="false" ht="15" hidden="false" customHeight="false" outlineLevel="0" collapsed="false">
      <c r="A223" s="0" t="n">
        <f aca="false">IF('🧪 INVENTAIRE'!B224="",9000000000000000,IF('🧪 INVENTAIRE'!AJ224="",8000000000000000+ROW(),'🧪 INVENTAIRE'!AJ224*100000+ROW()))</f>
        <v>9000000000000000</v>
      </c>
      <c r="B223" s="0" t="str">
        <f aca="false">IF(AND('🧪 INVENTAIRE'!B224&lt;&gt;"",'🧪 INVENTAIRE'!BC224&lt;&gt;""),ROW('🧪 INVENTAIRE'!B224),"")</f>
        <v/>
      </c>
      <c r="C223" s="0" t="str">
        <f aca="false">IF('🧪 INVENTAIRE'!B224="","",N('🧪 INVENTAIRE'!O224)+ROW()/1000000)</f>
        <v/>
      </c>
    </row>
    <row r="224" customFormat="false" ht="15" hidden="false" customHeight="false" outlineLevel="0" collapsed="false">
      <c r="A224" s="0" t="n">
        <f aca="false">IF('🧪 INVENTAIRE'!B225="",9000000000000000,IF('🧪 INVENTAIRE'!AJ225="",8000000000000000+ROW(),'🧪 INVENTAIRE'!AJ225*100000+ROW()))</f>
        <v>9000000000000000</v>
      </c>
      <c r="B224" s="0" t="str">
        <f aca="false">IF(AND('🧪 INVENTAIRE'!B225&lt;&gt;"",'🧪 INVENTAIRE'!BC225&lt;&gt;""),ROW('🧪 INVENTAIRE'!B225),"")</f>
        <v/>
      </c>
      <c r="C224" s="0" t="str">
        <f aca="false">IF('🧪 INVENTAIRE'!B225="","",N('🧪 INVENTAIRE'!O225)+ROW()/1000000)</f>
        <v/>
      </c>
    </row>
    <row r="225" customFormat="false" ht="15" hidden="false" customHeight="false" outlineLevel="0" collapsed="false">
      <c r="A225" s="0" t="n">
        <f aca="false">IF('🧪 INVENTAIRE'!B226="",9000000000000000,IF('🧪 INVENTAIRE'!AJ226="",8000000000000000+ROW(),'🧪 INVENTAIRE'!AJ226*100000+ROW()))</f>
        <v>9000000000000000</v>
      </c>
      <c r="B225" s="0" t="str">
        <f aca="false">IF(AND('🧪 INVENTAIRE'!B226&lt;&gt;"",'🧪 INVENTAIRE'!BC226&lt;&gt;""),ROW('🧪 INVENTAIRE'!B226),"")</f>
        <v/>
      </c>
      <c r="C225" s="0" t="str">
        <f aca="false">IF('🧪 INVENTAIRE'!B226="","",N('🧪 INVENTAIRE'!O226)+ROW()/1000000)</f>
        <v/>
      </c>
    </row>
    <row r="226" customFormat="false" ht="15" hidden="false" customHeight="false" outlineLevel="0" collapsed="false">
      <c r="A226" s="0" t="n">
        <f aca="false">IF('🧪 INVENTAIRE'!B227="",9000000000000000,IF('🧪 INVENTAIRE'!AJ227="",8000000000000000+ROW(),'🧪 INVENTAIRE'!AJ227*100000+ROW()))</f>
        <v>9000000000000000</v>
      </c>
      <c r="B226" s="0" t="str">
        <f aca="false">IF(AND('🧪 INVENTAIRE'!B227&lt;&gt;"",'🧪 INVENTAIRE'!BC227&lt;&gt;""),ROW('🧪 INVENTAIRE'!B227),"")</f>
        <v/>
      </c>
      <c r="C226" s="0" t="str">
        <f aca="false">IF('🧪 INVENTAIRE'!B227="","",N('🧪 INVENTAIRE'!O227)+ROW()/1000000)</f>
        <v/>
      </c>
    </row>
    <row r="227" customFormat="false" ht="15" hidden="false" customHeight="false" outlineLevel="0" collapsed="false">
      <c r="A227" s="0" t="n">
        <f aca="false">IF('🧪 INVENTAIRE'!B228="",9000000000000000,IF('🧪 INVENTAIRE'!AJ228="",8000000000000000+ROW(),'🧪 INVENTAIRE'!AJ228*100000+ROW()))</f>
        <v>9000000000000000</v>
      </c>
      <c r="B227" s="0" t="str">
        <f aca="false">IF(AND('🧪 INVENTAIRE'!B228&lt;&gt;"",'🧪 INVENTAIRE'!BC228&lt;&gt;""),ROW('🧪 INVENTAIRE'!B228),"")</f>
        <v/>
      </c>
      <c r="C227" s="0" t="str">
        <f aca="false">IF('🧪 INVENTAIRE'!B228="","",N('🧪 INVENTAIRE'!O228)+ROW()/1000000)</f>
        <v/>
      </c>
    </row>
    <row r="228" customFormat="false" ht="15" hidden="false" customHeight="false" outlineLevel="0" collapsed="false">
      <c r="A228" s="0" t="n">
        <f aca="false">IF('🧪 INVENTAIRE'!B229="",9000000000000000,IF('🧪 INVENTAIRE'!AJ229="",8000000000000000+ROW(),'🧪 INVENTAIRE'!AJ229*100000+ROW()))</f>
        <v>9000000000000000</v>
      </c>
      <c r="B228" s="0" t="str">
        <f aca="false">IF(AND('🧪 INVENTAIRE'!B229&lt;&gt;"",'🧪 INVENTAIRE'!BC229&lt;&gt;""),ROW('🧪 INVENTAIRE'!B229),"")</f>
        <v/>
      </c>
      <c r="C228" s="0" t="str">
        <f aca="false">IF('🧪 INVENTAIRE'!B229="","",N('🧪 INVENTAIRE'!O229)+ROW()/1000000)</f>
        <v/>
      </c>
    </row>
    <row r="229" customFormat="false" ht="15" hidden="false" customHeight="false" outlineLevel="0" collapsed="false">
      <c r="A229" s="0" t="n">
        <f aca="false">IF('🧪 INVENTAIRE'!B230="",9000000000000000,IF('🧪 INVENTAIRE'!AJ230="",8000000000000000+ROW(),'🧪 INVENTAIRE'!AJ230*100000+ROW()))</f>
        <v>9000000000000000</v>
      </c>
      <c r="B229" s="0" t="str">
        <f aca="false">IF(AND('🧪 INVENTAIRE'!B230&lt;&gt;"",'🧪 INVENTAIRE'!BC230&lt;&gt;""),ROW('🧪 INVENTAIRE'!B230),"")</f>
        <v/>
      </c>
      <c r="C229" s="0" t="str">
        <f aca="false">IF('🧪 INVENTAIRE'!B230="","",N('🧪 INVENTAIRE'!O230)+ROW()/1000000)</f>
        <v/>
      </c>
    </row>
    <row r="230" customFormat="false" ht="15" hidden="false" customHeight="false" outlineLevel="0" collapsed="false">
      <c r="A230" s="0" t="n">
        <f aca="false">IF('🧪 INVENTAIRE'!B231="",9000000000000000,IF('🧪 INVENTAIRE'!AJ231="",8000000000000000+ROW(),'🧪 INVENTAIRE'!AJ231*100000+ROW()))</f>
        <v>9000000000000000</v>
      </c>
      <c r="B230" s="0" t="str">
        <f aca="false">IF(AND('🧪 INVENTAIRE'!B231&lt;&gt;"",'🧪 INVENTAIRE'!BC231&lt;&gt;""),ROW('🧪 INVENTAIRE'!B231),"")</f>
        <v/>
      </c>
      <c r="C230" s="0" t="str">
        <f aca="false">IF('🧪 INVENTAIRE'!B231="","",N('🧪 INVENTAIRE'!O231)+ROW()/1000000)</f>
        <v/>
      </c>
    </row>
    <row r="231" customFormat="false" ht="15" hidden="false" customHeight="false" outlineLevel="0" collapsed="false">
      <c r="A231" s="0" t="n">
        <f aca="false">IF('🧪 INVENTAIRE'!B232="",9000000000000000,IF('🧪 INVENTAIRE'!AJ232="",8000000000000000+ROW(),'🧪 INVENTAIRE'!AJ232*100000+ROW()))</f>
        <v>9000000000000000</v>
      </c>
      <c r="B231" s="0" t="str">
        <f aca="false">IF(AND('🧪 INVENTAIRE'!B232&lt;&gt;"",'🧪 INVENTAIRE'!BC232&lt;&gt;""),ROW('🧪 INVENTAIRE'!B232),"")</f>
        <v/>
      </c>
      <c r="C231" s="0" t="str">
        <f aca="false">IF('🧪 INVENTAIRE'!B232="","",N('🧪 INVENTAIRE'!O232)+ROW()/1000000)</f>
        <v/>
      </c>
    </row>
    <row r="232" customFormat="false" ht="15" hidden="false" customHeight="false" outlineLevel="0" collapsed="false">
      <c r="A232" s="0" t="n">
        <f aca="false">IF('🧪 INVENTAIRE'!B233="",9000000000000000,IF('🧪 INVENTAIRE'!AJ233="",8000000000000000+ROW(),'🧪 INVENTAIRE'!AJ233*100000+ROW()))</f>
        <v>9000000000000000</v>
      </c>
      <c r="B232" s="0" t="str">
        <f aca="false">IF(AND('🧪 INVENTAIRE'!B233&lt;&gt;"",'🧪 INVENTAIRE'!BC233&lt;&gt;""),ROW('🧪 INVENTAIRE'!B233),"")</f>
        <v/>
      </c>
      <c r="C232" s="0" t="str">
        <f aca="false">IF('🧪 INVENTAIRE'!B233="","",N('🧪 INVENTAIRE'!O233)+ROW()/1000000)</f>
        <v/>
      </c>
    </row>
    <row r="233" customFormat="false" ht="15" hidden="false" customHeight="false" outlineLevel="0" collapsed="false">
      <c r="A233" s="0" t="n">
        <f aca="false">IF('🧪 INVENTAIRE'!B234="",9000000000000000,IF('🧪 INVENTAIRE'!AJ234="",8000000000000000+ROW(),'🧪 INVENTAIRE'!AJ234*100000+ROW()))</f>
        <v>9000000000000000</v>
      </c>
      <c r="B233" s="0" t="str">
        <f aca="false">IF(AND('🧪 INVENTAIRE'!B234&lt;&gt;"",'🧪 INVENTAIRE'!BC234&lt;&gt;""),ROW('🧪 INVENTAIRE'!B234),"")</f>
        <v/>
      </c>
      <c r="C233" s="0" t="str">
        <f aca="false">IF('🧪 INVENTAIRE'!B234="","",N('🧪 INVENTAIRE'!O234)+ROW()/1000000)</f>
        <v/>
      </c>
    </row>
    <row r="234" customFormat="false" ht="15" hidden="false" customHeight="false" outlineLevel="0" collapsed="false">
      <c r="A234" s="0" t="n">
        <f aca="false">IF('🧪 INVENTAIRE'!B235="",9000000000000000,IF('🧪 INVENTAIRE'!AJ235="",8000000000000000+ROW(),'🧪 INVENTAIRE'!AJ235*100000+ROW()))</f>
        <v>9000000000000000</v>
      </c>
      <c r="B234" s="0" t="str">
        <f aca="false">IF(AND('🧪 INVENTAIRE'!B235&lt;&gt;"",'🧪 INVENTAIRE'!BC235&lt;&gt;""),ROW('🧪 INVENTAIRE'!B235),"")</f>
        <v/>
      </c>
      <c r="C234" s="0" t="str">
        <f aca="false">IF('🧪 INVENTAIRE'!B235="","",N('🧪 INVENTAIRE'!O235)+ROW()/1000000)</f>
        <v/>
      </c>
    </row>
    <row r="235" customFormat="false" ht="15" hidden="false" customHeight="false" outlineLevel="0" collapsed="false">
      <c r="A235" s="0" t="n">
        <f aca="false">IF('🧪 INVENTAIRE'!B236="",9000000000000000,IF('🧪 INVENTAIRE'!AJ236="",8000000000000000+ROW(),'🧪 INVENTAIRE'!AJ236*100000+ROW()))</f>
        <v>9000000000000000</v>
      </c>
      <c r="B235" s="0" t="str">
        <f aca="false">IF(AND('🧪 INVENTAIRE'!B236&lt;&gt;"",'🧪 INVENTAIRE'!BC236&lt;&gt;""),ROW('🧪 INVENTAIRE'!B236),"")</f>
        <v/>
      </c>
      <c r="C235" s="0" t="str">
        <f aca="false">IF('🧪 INVENTAIRE'!B236="","",N('🧪 INVENTAIRE'!O236)+ROW()/1000000)</f>
        <v/>
      </c>
    </row>
    <row r="236" customFormat="false" ht="15" hidden="false" customHeight="false" outlineLevel="0" collapsed="false">
      <c r="A236" s="0" t="n">
        <f aca="false">IF('🧪 INVENTAIRE'!B237="",9000000000000000,IF('🧪 INVENTAIRE'!AJ237="",8000000000000000+ROW(),'🧪 INVENTAIRE'!AJ237*100000+ROW()))</f>
        <v>9000000000000000</v>
      </c>
      <c r="B236" s="0" t="str">
        <f aca="false">IF(AND('🧪 INVENTAIRE'!B237&lt;&gt;"",'🧪 INVENTAIRE'!BC237&lt;&gt;""),ROW('🧪 INVENTAIRE'!B237),"")</f>
        <v/>
      </c>
      <c r="C236" s="0" t="str">
        <f aca="false">IF('🧪 INVENTAIRE'!B237="","",N('🧪 INVENTAIRE'!O237)+ROW()/1000000)</f>
        <v/>
      </c>
    </row>
    <row r="237" customFormat="false" ht="15" hidden="false" customHeight="false" outlineLevel="0" collapsed="false">
      <c r="A237" s="0" t="n">
        <f aca="false">IF('🧪 INVENTAIRE'!B238="",9000000000000000,IF('🧪 INVENTAIRE'!AJ238="",8000000000000000+ROW(),'🧪 INVENTAIRE'!AJ238*100000+ROW()))</f>
        <v>9000000000000000</v>
      </c>
      <c r="B237" s="0" t="str">
        <f aca="false">IF(AND('🧪 INVENTAIRE'!B238&lt;&gt;"",'🧪 INVENTAIRE'!BC238&lt;&gt;""),ROW('🧪 INVENTAIRE'!B238),"")</f>
        <v/>
      </c>
      <c r="C237" s="0" t="str">
        <f aca="false">IF('🧪 INVENTAIRE'!B238="","",N('🧪 INVENTAIRE'!O238)+ROW()/1000000)</f>
        <v/>
      </c>
    </row>
    <row r="238" customFormat="false" ht="15" hidden="false" customHeight="false" outlineLevel="0" collapsed="false">
      <c r="A238" s="0" t="n">
        <f aca="false">IF('🧪 INVENTAIRE'!B239="",9000000000000000,IF('🧪 INVENTAIRE'!AJ239="",8000000000000000+ROW(),'🧪 INVENTAIRE'!AJ239*100000+ROW()))</f>
        <v>9000000000000000</v>
      </c>
      <c r="B238" s="0" t="str">
        <f aca="false">IF(AND('🧪 INVENTAIRE'!B239&lt;&gt;"",'🧪 INVENTAIRE'!BC239&lt;&gt;""),ROW('🧪 INVENTAIRE'!B239),"")</f>
        <v/>
      </c>
      <c r="C238" s="0" t="str">
        <f aca="false">IF('🧪 INVENTAIRE'!B239="","",N('🧪 INVENTAIRE'!O239)+ROW()/1000000)</f>
        <v/>
      </c>
    </row>
    <row r="239" customFormat="false" ht="15" hidden="false" customHeight="false" outlineLevel="0" collapsed="false">
      <c r="A239" s="0" t="n">
        <f aca="false">IF('🧪 INVENTAIRE'!B240="",9000000000000000,IF('🧪 INVENTAIRE'!AJ240="",8000000000000000+ROW(),'🧪 INVENTAIRE'!AJ240*100000+ROW()))</f>
        <v>9000000000000000</v>
      </c>
      <c r="B239" s="0" t="str">
        <f aca="false">IF(AND('🧪 INVENTAIRE'!B240&lt;&gt;"",'🧪 INVENTAIRE'!BC240&lt;&gt;""),ROW('🧪 INVENTAIRE'!B240),"")</f>
        <v/>
      </c>
      <c r="C239" s="0" t="str">
        <f aca="false">IF('🧪 INVENTAIRE'!B240="","",N('🧪 INVENTAIRE'!O240)+ROW()/1000000)</f>
        <v/>
      </c>
    </row>
    <row r="240" customFormat="false" ht="15" hidden="false" customHeight="false" outlineLevel="0" collapsed="false">
      <c r="A240" s="0" t="n">
        <f aca="false">IF('🧪 INVENTAIRE'!B241="",9000000000000000,IF('🧪 INVENTAIRE'!AJ241="",8000000000000000+ROW(),'🧪 INVENTAIRE'!AJ241*100000+ROW()))</f>
        <v>9000000000000000</v>
      </c>
      <c r="B240" s="0" t="str">
        <f aca="false">IF(AND('🧪 INVENTAIRE'!B241&lt;&gt;"",'🧪 INVENTAIRE'!BC241&lt;&gt;""),ROW('🧪 INVENTAIRE'!B241),"")</f>
        <v/>
      </c>
      <c r="C240" s="0" t="str">
        <f aca="false">IF('🧪 INVENTAIRE'!B241="","",N('🧪 INVENTAIRE'!O241)+ROW()/1000000)</f>
        <v/>
      </c>
    </row>
    <row r="241" customFormat="false" ht="15" hidden="false" customHeight="false" outlineLevel="0" collapsed="false">
      <c r="A241" s="0" t="n">
        <f aca="false">IF('🧪 INVENTAIRE'!B242="",9000000000000000,IF('🧪 INVENTAIRE'!AJ242="",8000000000000000+ROW(),'🧪 INVENTAIRE'!AJ242*100000+ROW()))</f>
        <v>9000000000000000</v>
      </c>
      <c r="B241" s="0" t="str">
        <f aca="false">IF(AND('🧪 INVENTAIRE'!B242&lt;&gt;"",'🧪 INVENTAIRE'!BC242&lt;&gt;""),ROW('🧪 INVENTAIRE'!B242),"")</f>
        <v/>
      </c>
      <c r="C241" s="0" t="str">
        <f aca="false">IF('🧪 INVENTAIRE'!B242="","",N('🧪 INVENTAIRE'!O242)+ROW()/1000000)</f>
        <v/>
      </c>
    </row>
    <row r="242" customFormat="false" ht="15" hidden="false" customHeight="false" outlineLevel="0" collapsed="false">
      <c r="A242" s="0" t="n">
        <f aca="false">IF('🧪 INVENTAIRE'!B243="",9000000000000000,IF('🧪 INVENTAIRE'!AJ243="",8000000000000000+ROW(),'🧪 INVENTAIRE'!AJ243*100000+ROW()))</f>
        <v>9000000000000000</v>
      </c>
      <c r="B242" s="0" t="str">
        <f aca="false">IF(AND('🧪 INVENTAIRE'!B243&lt;&gt;"",'🧪 INVENTAIRE'!BC243&lt;&gt;""),ROW('🧪 INVENTAIRE'!B243),"")</f>
        <v/>
      </c>
      <c r="C242" s="0" t="str">
        <f aca="false">IF('🧪 INVENTAIRE'!B243="","",N('🧪 INVENTAIRE'!O243)+ROW()/1000000)</f>
        <v/>
      </c>
    </row>
    <row r="243" customFormat="false" ht="15" hidden="false" customHeight="false" outlineLevel="0" collapsed="false">
      <c r="A243" s="0" t="n">
        <f aca="false">IF('🧪 INVENTAIRE'!B244="",9000000000000000,IF('🧪 INVENTAIRE'!AJ244="",8000000000000000+ROW(),'🧪 INVENTAIRE'!AJ244*100000+ROW()))</f>
        <v>9000000000000000</v>
      </c>
      <c r="B243" s="0" t="str">
        <f aca="false">IF(AND('🧪 INVENTAIRE'!B244&lt;&gt;"",'🧪 INVENTAIRE'!BC244&lt;&gt;""),ROW('🧪 INVENTAIRE'!B244),"")</f>
        <v/>
      </c>
      <c r="C243" s="0" t="str">
        <f aca="false">IF('🧪 INVENTAIRE'!B244="","",N('🧪 INVENTAIRE'!O244)+ROW()/1000000)</f>
        <v/>
      </c>
    </row>
    <row r="244" customFormat="false" ht="15" hidden="false" customHeight="false" outlineLevel="0" collapsed="false">
      <c r="A244" s="0" t="n">
        <f aca="false">IF('🧪 INVENTAIRE'!B245="",9000000000000000,IF('🧪 INVENTAIRE'!AJ245="",8000000000000000+ROW(),'🧪 INVENTAIRE'!AJ245*100000+ROW()))</f>
        <v>9000000000000000</v>
      </c>
      <c r="B244" s="0" t="str">
        <f aca="false">IF(AND('🧪 INVENTAIRE'!B245&lt;&gt;"",'🧪 INVENTAIRE'!BC245&lt;&gt;""),ROW('🧪 INVENTAIRE'!B245),"")</f>
        <v/>
      </c>
      <c r="C244" s="0" t="str">
        <f aca="false">IF('🧪 INVENTAIRE'!B245="","",N('🧪 INVENTAIRE'!O245)+ROW()/1000000)</f>
        <v/>
      </c>
    </row>
    <row r="245" customFormat="false" ht="15" hidden="false" customHeight="false" outlineLevel="0" collapsed="false">
      <c r="A245" s="0" t="n">
        <f aca="false">IF('🧪 INVENTAIRE'!B246="",9000000000000000,IF('🧪 INVENTAIRE'!AJ246="",8000000000000000+ROW(),'🧪 INVENTAIRE'!AJ246*100000+ROW()))</f>
        <v>9000000000000000</v>
      </c>
      <c r="B245" s="0" t="str">
        <f aca="false">IF(AND('🧪 INVENTAIRE'!B246&lt;&gt;"",'🧪 INVENTAIRE'!BC246&lt;&gt;""),ROW('🧪 INVENTAIRE'!B246),"")</f>
        <v/>
      </c>
      <c r="C245" s="0" t="str">
        <f aca="false">IF('🧪 INVENTAIRE'!B246="","",N('🧪 INVENTAIRE'!O246)+ROW()/1000000)</f>
        <v/>
      </c>
    </row>
    <row r="246" customFormat="false" ht="15" hidden="false" customHeight="false" outlineLevel="0" collapsed="false">
      <c r="A246" s="0" t="n">
        <f aca="false">IF('🧪 INVENTAIRE'!B247="",9000000000000000,IF('🧪 INVENTAIRE'!AJ247="",8000000000000000+ROW(),'🧪 INVENTAIRE'!AJ247*100000+ROW()))</f>
        <v>9000000000000000</v>
      </c>
      <c r="B246" s="0" t="str">
        <f aca="false">IF(AND('🧪 INVENTAIRE'!B247&lt;&gt;"",'🧪 INVENTAIRE'!BC247&lt;&gt;""),ROW('🧪 INVENTAIRE'!B247),"")</f>
        <v/>
      </c>
      <c r="C246" s="0" t="str">
        <f aca="false">IF('🧪 INVENTAIRE'!B247="","",N('🧪 INVENTAIRE'!O247)+ROW()/1000000)</f>
        <v/>
      </c>
    </row>
    <row r="247" customFormat="false" ht="15" hidden="false" customHeight="false" outlineLevel="0" collapsed="false">
      <c r="A247" s="0" t="n">
        <f aca="false">IF('🧪 INVENTAIRE'!B248="",9000000000000000,IF('🧪 INVENTAIRE'!AJ248="",8000000000000000+ROW(),'🧪 INVENTAIRE'!AJ248*100000+ROW()))</f>
        <v>9000000000000000</v>
      </c>
      <c r="B247" s="0" t="str">
        <f aca="false">IF(AND('🧪 INVENTAIRE'!B248&lt;&gt;"",'🧪 INVENTAIRE'!BC248&lt;&gt;""),ROW('🧪 INVENTAIRE'!B248),"")</f>
        <v/>
      </c>
      <c r="C247" s="0" t="str">
        <f aca="false">IF('🧪 INVENTAIRE'!B248="","",N('🧪 INVENTAIRE'!O248)+ROW()/1000000)</f>
        <v/>
      </c>
    </row>
    <row r="248" customFormat="false" ht="15" hidden="false" customHeight="false" outlineLevel="0" collapsed="false">
      <c r="A248" s="0" t="n">
        <f aca="false">IF('🧪 INVENTAIRE'!B249="",9000000000000000,IF('🧪 INVENTAIRE'!AJ249="",8000000000000000+ROW(),'🧪 INVENTAIRE'!AJ249*100000+ROW()))</f>
        <v>9000000000000000</v>
      </c>
      <c r="B248" s="0" t="str">
        <f aca="false">IF(AND('🧪 INVENTAIRE'!B249&lt;&gt;"",'🧪 INVENTAIRE'!BC249&lt;&gt;""),ROW('🧪 INVENTAIRE'!B249),"")</f>
        <v/>
      </c>
      <c r="C248" s="0" t="str">
        <f aca="false">IF('🧪 INVENTAIRE'!B249="","",N('🧪 INVENTAIRE'!O249)+ROW()/1000000)</f>
        <v/>
      </c>
    </row>
    <row r="249" customFormat="false" ht="15" hidden="false" customHeight="false" outlineLevel="0" collapsed="false">
      <c r="A249" s="0" t="n">
        <f aca="false">IF('🧪 INVENTAIRE'!B250="",9000000000000000,IF('🧪 INVENTAIRE'!AJ250="",8000000000000000+ROW(),'🧪 INVENTAIRE'!AJ250*100000+ROW()))</f>
        <v>9000000000000000</v>
      </c>
      <c r="B249" s="0" t="str">
        <f aca="false">IF(AND('🧪 INVENTAIRE'!B250&lt;&gt;"",'🧪 INVENTAIRE'!BC250&lt;&gt;""),ROW('🧪 INVENTAIRE'!B250),"")</f>
        <v/>
      </c>
      <c r="C249" s="0" t="str">
        <f aca="false">IF('🧪 INVENTAIRE'!B250="","",N('🧪 INVENTAIRE'!O250)+ROW()/1000000)</f>
        <v/>
      </c>
    </row>
    <row r="250" customFormat="false" ht="15" hidden="false" customHeight="false" outlineLevel="0" collapsed="false">
      <c r="A250" s="0" t="n">
        <f aca="false">IF('🧪 INVENTAIRE'!B251="",9000000000000000,IF('🧪 INVENTAIRE'!AJ251="",8000000000000000+ROW(),'🧪 INVENTAIRE'!AJ251*100000+ROW()))</f>
        <v>9000000000000000</v>
      </c>
      <c r="B250" s="0" t="str">
        <f aca="false">IF(AND('🧪 INVENTAIRE'!B251&lt;&gt;"",'🧪 INVENTAIRE'!BC251&lt;&gt;""),ROW('🧪 INVENTAIRE'!B251),"")</f>
        <v/>
      </c>
      <c r="C250" s="0" t="str">
        <f aca="false">IF('🧪 INVENTAIRE'!B251="","",N('🧪 INVENTAIRE'!O251)+ROW()/1000000)</f>
        <v/>
      </c>
    </row>
    <row r="251" customFormat="false" ht="15" hidden="false" customHeight="false" outlineLevel="0" collapsed="false">
      <c r="A251" s="0" t="n">
        <f aca="false">IF('🧪 INVENTAIRE'!B252="",9000000000000000,IF('🧪 INVENTAIRE'!AJ252="",8000000000000000+ROW(),'🧪 INVENTAIRE'!AJ252*100000+ROW()))</f>
        <v>9000000000000000</v>
      </c>
      <c r="B251" s="0" t="str">
        <f aca="false">IF(AND('🧪 INVENTAIRE'!B252&lt;&gt;"",'🧪 INVENTAIRE'!BC252&lt;&gt;""),ROW('🧪 INVENTAIRE'!B252),"")</f>
        <v/>
      </c>
      <c r="C251" s="0" t="str">
        <f aca="false">IF('🧪 INVENTAIRE'!B252="","",N('🧪 INVENTAIRE'!O252)+ROW()/1000000)</f>
        <v/>
      </c>
    </row>
    <row r="252" customFormat="false" ht="15" hidden="false" customHeight="false" outlineLevel="0" collapsed="false">
      <c r="A252" s="0" t="n">
        <f aca="false">IF('🧪 INVENTAIRE'!B253="",9000000000000000,IF('🧪 INVENTAIRE'!AJ253="",8000000000000000+ROW(),'🧪 INVENTAIRE'!AJ253*100000+ROW()))</f>
        <v>9000000000000000</v>
      </c>
      <c r="B252" s="0" t="str">
        <f aca="false">IF(AND('🧪 INVENTAIRE'!B253&lt;&gt;"",'🧪 INVENTAIRE'!BC253&lt;&gt;""),ROW('🧪 INVENTAIRE'!B253),"")</f>
        <v/>
      </c>
      <c r="C252" s="0" t="str">
        <f aca="false">IF('🧪 INVENTAIRE'!B253="","",N('🧪 INVENTAIRE'!O253)+ROW()/1000000)</f>
        <v/>
      </c>
    </row>
    <row r="253" customFormat="false" ht="15" hidden="false" customHeight="false" outlineLevel="0" collapsed="false">
      <c r="A253" s="0" t="n">
        <f aca="false">IF('🧪 INVENTAIRE'!B254="",9000000000000000,IF('🧪 INVENTAIRE'!AJ254="",8000000000000000+ROW(),'🧪 INVENTAIRE'!AJ254*100000+ROW()))</f>
        <v>9000000000000000</v>
      </c>
      <c r="B253" s="0" t="str">
        <f aca="false">IF(AND('🧪 INVENTAIRE'!B254&lt;&gt;"",'🧪 INVENTAIRE'!BC254&lt;&gt;""),ROW('🧪 INVENTAIRE'!B254),"")</f>
        <v/>
      </c>
      <c r="C253" s="0" t="str">
        <f aca="false">IF('🧪 INVENTAIRE'!B254="","",N('🧪 INVENTAIRE'!O254)+ROW()/1000000)</f>
        <v/>
      </c>
    </row>
    <row r="254" customFormat="false" ht="15" hidden="false" customHeight="false" outlineLevel="0" collapsed="false">
      <c r="A254" s="0" t="n">
        <f aca="false">IF('🧪 INVENTAIRE'!B255="",9000000000000000,IF('🧪 INVENTAIRE'!AJ255="",8000000000000000+ROW(),'🧪 INVENTAIRE'!AJ255*100000+ROW()))</f>
        <v>9000000000000000</v>
      </c>
      <c r="B254" s="0" t="str">
        <f aca="false">IF(AND('🧪 INVENTAIRE'!B255&lt;&gt;"",'🧪 INVENTAIRE'!BC255&lt;&gt;""),ROW('🧪 INVENTAIRE'!B255),"")</f>
        <v/>
      </c>
      <c r="C254" s="0" t="str">
        <f aca="false">IF('🧪 INVENTAIRE'!B255="","",N('🧪 INVENTAIRE'!O255)+ROW()/1000000)</f>
        <v/>
      </c>
    </row>
    <row r="255" customFormat="false" ht="15" hidden="false" customHeight="false" outlineLevel="0" collapsed="false">
      <c r="A255" s="0" t="n">
        <f aca="false">IF('🧪 INVENTAIRE'!B256="",9000000000000000,IF('🧪 INVENTAIRE'!AJ256="",8000000000000000+ROW(),'🧪 INVENTAIRE'!AJ256*100000+ROW()))</f>
        <v>9000000000000000</v>
      </c>
      <c r="B255" s="0" t="str">
        <f aca="false">IF(AND('🧪 INVENTAIRE'!B256&lt;&gt;"",'🧪 INVENTAIRE'!BC256&lt;&gt;""),ROW('🧪 INVENTAIRE'!B256),"")</f>
        <v/>
      </c>
      <c r="C255" s="0" t="str">
        <f aca="false">IF('🧪 INVENTAIRE'!B256="","",N('🧪 INVENTAIRE'!O256)+ROW()/1000000)</f>
        <v/>
      </c>
    </row>
    <row r="256" customFormat="false" ht="15" hidden="false" customHeight="false" outlineLevel="0" collapsed="false">
      <c r="A256" s="0" t="n">
        <f aca="false">IF('🧪 INVENTAIRE'!B257="",9000000000000000,IF('🧪 INVENTAIRE'!AJ257="",8000000000000000+ROW(),'🧪 INVENTAIRE'!AJ257*100000+ROW()))</f>
        <v>9000000000000000</v>
      </c>
      <c r="B256" s="0" t="str">
        <f aca="false">IF(AND('🧪 INVENTAIRE'!B257&lt;&gt;"",'🧪 INVENTAIRE'!BC257&lt;&gt;""),ROW('🧪 INVENTAIRE'!B257),"")</f>
        <v/>
      </c>
      <c r="C256" s="0" t="str">
        <f aca="false">IF('🧪 INVENTAIRE'!B257="","",N('🧪 INVENTAIRE'!O257)+ROW()/1000000)</f>
        <v/>
      </c>
    </row>
    <row r="257" customFormat="false" ht="15" hidden="false" customHeight="false" outlineLevel="0" collapsed="false">
      <c r="A257" s="0" t="n">
        <f aca="false">IF('🧪 INVENTAIRE'!B258="",9000000000000000,IF('🧪 INVENTAIRE'!AJ258="",8000000000000000+ROW(),'🧪 INVENTAIRE'!AJ258*100000+ROW()))</f>
        <v>9000000000000000</v>
      </c>
      <c r="B257" s="0" t="str">
        <f aca="false">IF(AND('🧪 INVENTAIRE'!B258&lt;&gt;"",'🧪 INVENTAIRE'!BC258&lt;&gt;""),ROW('🧪 INVENTAIRE'!B258),"")</f>
        <v/>
      </c>
      <c r="C257" s="0" t="str">
        <f aca="false">IF('🧪 INVENTAIRE'!B258="","",N('🧪 INVENTAIRE'!O258)+ROW()/1000000)</f>
        <v/>
      </c>
    </row>
    <row r="258" customFormat="false" ht="15" hidden="false" customHeight="false" outlineLevel="0" collapsed="false">
      <c r="A258" s="0" t="n">
        <f aca="false">IF('🧪 INVENTAIRE'!B259="",9000000000000000,IF('🧪 INVENTAIRE'!AJ259="",8000000000000000+ROW(),'🧪 INVENTAIRE'!AJ259*100000+ROW()))</f>
        <v>9000000000000000</v>
      </c>
      <c r="B258" s="0" t="str">
        <f aca="false">IF(AND('🧪 INVENTAIRE'!B259&lt;&gt;"",'🧪 INVENTAIRE'!BC259&lt;&gt;""),ROW('🧪 INVENTAIRE'!B259),"")</f>
        <v/>
      </c>
      <c r="C258" s="0" t="str">
        <f aca="false">IF('🧪 INVENTAIRE'!B259="","",N('🧪 INVENTAIRE'!O259)+ROW()/1000000)</f>
        <v/>
      </c>
    </row>
    <row r="259" customFormat="false" ht="15" hidden="false" customHeight="false" outlineLevel="0" collapsed="false">
      <c r="A259" s="0" t="n">
        <f aca="false">IF('🧪 INVENTAIRE'!B260="",9000000000000000,IF('🧪 INVENTAIRE'!AJ260="",8000000000000000+ROW(),'🧪 INVENTAIRE'!AJ260*100000+ROW()))</f>
        <v>9000000000000000</v>
      </c>
      <c r="B259" s="0" t="str">
        <f aca="false">IF(AND('🧪 INVENTAIRE'!B260&lt;&gt;"",'🧪 INVENTAIRE'!BC260&lt;&gt;""),ROW('🧪 INVENTAIRE'!B260),"")</f>
        <v/>
      </c>
      <c r="C259" s="0" t="str">
        <f aca="false">IF('🧪 INVENTAIRE'!B260="","",N('🧪 INVENTAIRE'!O260)+ROW()/1000000)</f>
        <v/>
      </c>
    </row>
    <row r="260" customFormat="false" ht="15" hidden="false" customHeight="false" outlineLevel="0" collapsed="false">
      <c r="A260" s="0" t="n">
        <f aca="false">IF('🧪 INVENTAIRE'!B261="",9000000000000000,IF('🧪 INVENTAIRE'!AJ261="",8000000000000000+ROW(),'🧪 INVENTAIRE'!AJ261*100000+ROW()))</f>
        <v>9000000000000000</v>
      </c>
      <c r="B260" s="0" t="str">
        <f aca="false">IF(AND('🧪 INVENTAIRE'!B261&lt;&gt;"",'🧪 INVENTAIRE'!BC261&lt;&gt;""),ROW('🧪 INVENTAIRE'!B261),"")</f>
        <v/>
      </c>
      <c r="C260" s="0" t="str">
        <f aca="false">IF('🧪 INVENTAIRE'!B261="","",N('🧪 INVENTAIRE'!O261)+ROW()/1000000)</f>
        <v/>
      </c>
    </row>
    <row r="261" customFormat="false" ht="15" hidden="false" customHeight="false" outlineLevel="0" collapsed="false">
      <c r="A261" s="0" t="n">
        <f aca="false">IF('🧪 INVENTAIRE'!B262="",9000000000000000,IF('🧪 INVENTAIRE'!AJ262="",8000000000000000+ROW(),'🧪 INVENTAIRE'!AJ262*100000+ROW()))</f>
        <v>9000000000000000</v>
      </c>
      <c r="B261" s="0" t="str">
        <f aca="false">IF(AND('🧪 INVENTAIRE'!B262&lt;&gt;"",'🧪 INVENTAIRE'!BC262&lt;&gt;""),ROW('🧪 INVENTAIRE'!B262),"")</f>
        <v/>
      </c>
      <c r="C261" s="0" t="str">
        <f aca="false">IF('🧪 INVENTAIRE'!B262="","",N('🧪 INVENTAIRE'!O262)+ROW()/1000000)</f>
        <v/>
      </c>
    </row>
    <row r="262" customFormat="false" ht="15" hidden="false" customHeight="false" outlineLevel="0" collapsed="false">
      <c r="A262" s="0" t="n">
        <f aca="false">IF('🧪 INVENTAIRE'!B263="",9000000000000000,IF('🧪 INVENTAIRE'!AJ263="",8000000000000000+ROW(),'🧪 INVENTAIRE'!AJ263*100000+ROW()))</f>
        <v>9000000000000000</v>
      </c>
      <c r="B262" s="0" t="str">
        <f aca="false">IF(AND('🧪 INVENTAIRE'!B263&lt;&gt;"",'🧪 INVENTAIRE'!BC263&lt;&gt;""),ROW('🧪 INVENTAIRE'!B263),"")</f>
        <v/>
      </c>
      <c r="C262" s="0" t="str">
        <f aca="false">IF('🧪 INVENTAIRE'!B263="","",N('🧪 INVENTAIRE'!O263)+ROW()/1000000)</f>
        <v/>
      </c>
    </row>
    <row r="263" customFormat="false" ht="15" hidden="false" customHeight="false" outlineLevel="0" collapsed="false">
      <c r="A263" s="0" t="n">
        <f aca="false">IF('🧪 INVENTAIRE'!B264="",9000000000000000,IF('🧪 INVENTAIRE'!AJ264="",8000000000000000+ROW(),'🧪 INVENTAIRE'!AJ264*100000+ROW()))</f>
        <v>9000000000000000</v>
      </c>
      <c r="B263" s="0" t="str">
        <f aca="false">IF(AND('🧪 INVENTAIRE'!B264&lt;&gt;"",'🧪 INVENTAIRE'!BC264&lt;&gt;""),ROW('🧪 INVENTAIRE'!B264),"")</f>
        <v/>
      </c>
      <c r="C263" s="0" t="str">
        <f aca="false">IF('🧪 INVENTAIRE'!B264="","",N('🧪 INVENTAIRE'!O264)+ROW()/1000000)</f>
        <v/>
      </c>
    </row>
    <row r="264" customFormat="false" ht="15" hidden="false" customHeight="false" outlineLevel="0" collapsed="false">
      <c r="A264" s="0" t="n">
        <f aca="false">IF('🧪 INVENTAIRE'!B265="",9000000000000000,IF('🧪 INVENTAIRE'!AJ265="",8000000000000000+ROW(),'🧪 INVENTAIRE'!AJ265*100000+ROW()))</f>
        <v>9000000000000000</v>
      </c>
      <c r="B264" s="0" t="str">
        <f aca="false">IF(AND('🧪 INVENTAIRE'!B265&lt;&gt;"",'🧪 INVENTAIRE'!BC265&lt;&gt;""),ROW('🧪 INVENTAIRE'!B265),"")</f>
        <v/>
      </c>
      <c r="C264" s="0" t="str">
        <f aca="false">IF('🧪 INVENTAIRE'!B265="","",N('🧪 INVENTAIRE'!O265)+ROW()/1000000)</f>
        <v/>
      </c>
    </row>
    <row r="265" customFormat="false" ht="15" hidden="false" customHeight="false" outlineLevel="0" collapsed="false">
      <c r="A265" s="0" t="n">
        <f aca="false">IF('🧪 INVENTAIRE'!B266="",9000000000000000,IF('🧪 INVENTAIRE'!AJ266="",8000000000000000+ROW(),'🧪 INVENTAIRE'!AJ266*100000+ROW()))</f>
        <v>9000000000000000</v>
      </c>
      <c r="B265" s="0" t="str">
        <f aca="false">IF(AND('🧪 INVENTAIRE'!B266&lt;&gt;"",'🧪 INVENTAIRE'!BC266&lt;&gt;""),ROW('🧪 INVENTAIRE'!B266),"")</f>
        <v/>
      </c>
      <c r="C265" s="0" t="str">
        <f aca="false">IF('🧪 INVENTAIRE'!B266="","",N('🧪 INVENTAIRE'!O266)+ROW()/1000000)</f>
        <v/>
      </c>
    </row>
    <row r="266" customFormat="false" ht="15" hidden="false" customHeight="false" outlineLevel="0" collapsed="false">
      <c r="A266" s="0" t="n">
        <f aca="false">IF('🧪 INVENTAIRE'!B267="",9000000000000000,IF('🧪 INVENTAIRE'!AJ267="",8000000000000000+ROW(),'🧪 INVENTAIRE'!AJ267*100000+ROW()))</f>
        <v>9000000000000000</v>
      </c>
      <c r="B266" s="0" t="str">
        <f aca="false">IF(AND('🧪 INVENTAIRE'!B267&lt;&gt;"",'🧪 INVENTAIRE'!BC267&lt;&gt;""),ROW('🧪 INVENTAIRE'!B267),"")</f>
        <v/>
      </c>
      <c r="C266" s="0" t="str">
        <f aca="false">IF('🧪 INVENTAIRE'!B267="","",N('🧪 INVENTAIRE'!O267)+ROW()/1000000)</f>
        <v/>
      </c>
    </row>
    <row r="267" customFormat="false" ht="15" hidden="false" customHeight="false" outlineLevel="0" collapsed="false">
      <c r="A267" s="0" t="n">
        <f aca="false">IF('🧪 INVENTAIRE'!B268="",9000000000000000,IF('🧪 INVENTAIRE'!AJ268="",8000000000000000+ROW(),'🧪 INVENTAIRE'!AJ268*100000+ROW()))</f>
        <v>9000000000000000</v>
      </c>
      <c r="B267" s="0" t="str">
        <f aca="false">IF(AND('🧪 INVENTAIRE'!B268&lt;&gt;"",'🧪 INVENTAIRE'!BC268&lt;&gt;""),ROW('🧪 INVENTAIRE'!B268),"")</f>
        <v/>
      </c>
      <c r="C267" s="0" t="str">
        <f aca="false">IF('🧪 INVENTAIRE'!B268="","",N('🧪 INVENTAIRE'!O268)+ROW()/1000000)</f>
        <v/>
      </c>
    </row>
    <row r="268" customFormat="false" ht="15" hidden="false" customHeight="false" outlineLevel="0" collapsed="false">
      <c r="A268" s="0" t="n">
        <f aca="false">IF('🧪 INVENTAIRE'!B269="",9000000000000000,IF('🧪 INVENTAIRE'!AJ269="",8000000000000000+ROW(),'🧪 INVENTAIRE'!AJ269*100000+ROW()))</f>
        <v>9000000000000000</v>
      </c>
      <c r="B268" s="0" t="str">
        <f aca="false">IF(AND('🧪 INVENTAIRE'!B269&lt;&gt;"",'🧪 INVENTAIRE'!BC269&lt;&gt;""),ROW('🧪 INVENTAIRE'!B269),"")</f>
        <v/>
      </c>
      <c r="C268" s="0" t="str">
        <f aca="false">IF('🧪 INVENTAIRE'!B269="","",N('🧪 INVENTAIRE'!O269)+ROW()/1000000)</f>
        <v/>
      </c>
    </row>
    <row r="269" customFormat="false" ht="15" hidden="false" customHeight="false" outlineLevel="0" collapsed="false">
      <c r="A269" s="0" t="n">
        <f aca="false">IF('🧪 INVENTAIRE'!B270="",9000000000000000,IF('🧪 INVENTAIRE'!AJ270="",8000000000000000+ROW(),'🧪 INVENTAIRE'!AJ270*100000+ROW()))</f>
        <v>9000000000000000</v>
      </c>
      <c r="B269" s="0" t="str">
        <f aca="false">IF(AND('🧪 INVENTAIRE'!B270&lt;&gt;"",'🧪 INVENTAIRE'!BC270&lt;&gt;""),ROW('🧪 INVENTAIRE'!B270),"")</f>
        <v/>
      </c>
      <c r="C269" s="0" t="str">
        <f aca="false">IF('🧪 INVENTAIRE'!B270="","",N('🧪 INVENTAIRE'!O270)+ROW()/1000000)</f>
        <v/>
      </c>
    </row>
    <row r="270" customFormat="false" ht="15" hidden="false" customHeight="false" outlineLevel="0" collapsed="false">
      <c r="A270" s="0" t="n">
        <f aca="false">IF('🧪 INVENTAIRE'!B271="",9000000000000000,IF('🧪 INVENTAIRE'!AJ271="",8000000000000000+ROW(),'🧪 INVENTAIRE'!AJ271*100000+ROW()))</f>
        <v>9000000000000000</v>
      </c>
      <c r="B270" s="0" t="str">
        <f aca="false">IF(AND('🧪 INVENTAIRE'!B271&lt;&gt;"",'🧪 INVENTAIRE'!BC271&lt;&gt;""),ROW('🧪 INVENTAIRE'!B271),"")</f>
        <v/>
      </c>
      <c r="C270" s="0" t="str">
        <f aca="false">IF('🧪 INVENTAIRE'!B271="","",N('🧪 INVENTAIRE'!O271)+ROW()/1000000)</f>
        <v/>
      </c>
    </row>
    <row r="271" customFormat="false" ht="15" hidden="false" customHeight="false" outlineLevel="0" collapsed="false">
      <c r="A271" s="0" t="n">
        <f aca="false">IF('🧪 INVENTAIRE'!B272="",9000000000000000,IF('🧪 INVENTAIRE'!AJ272="",8000000000000000+ROW(),'🧪 INVENTAIRE'!AJ272*100000+ROW()))</f>
        <v>9000000000000000</v>
      </c>
      <c r="B271" s="0" t="str">
        <f aca="false">IF(AND('🧪 INVENTAIRE'!B272&lt;&gt;"",'🧪 INVENTAIRE'!BC272&lt;&gt;""),ROW('🧪 INVENTAIRE'!B272),"")</f>
        <v/>
      </c>
      <c r="C271" s="0" t="str">
        <f aca="false">IF('🧪 INVENTAIRE'!B272="","",N('🧪 INVENTAIRE'!O272)+ROW()/1000000)</f>
        <v/>
      </c>
    </row>
    <row r="272" customFormat="false" ht="15" hidden="false" customHeight="false" outlineLevel="0" collapsed="false">
      <c r="A272" s="0" t="n">
        <f aca="false">IF('🧪 INVENTAIRE'!B273="",9000000000000000,IF('🧪 INVENTAIRE'!AJ273="",8000000000000000+ROW(),'🧪 INVENTAIRE'!AJ273*100000+ROW()))</f>
        <v>9000000000000000</v>
      </c>
      <c r="B272" s="0" t="str">
        <f aca="false">IF(AND('🧪 INVENTAIRE'!B273&lt;&gt;"",'🧪 INVENTAIRE'!BC273&lt;&gt;""),ROW('🧪 INVENTAIRE'!B273),"")</f>
        <v/>
      </c>
      <c r="C272" s="0" t="str">
        <f aca="false">IF('🧪 INVENTAIRE'!B273="","",N('🧪 INVENTAIRE'!O273)+ROW()/1000000)</f>
        <v/>
      </c>
    </row>
    <row r="273" customFormat="false" ht="15" hidden="false" customHeight="false" outlineLevel="0" collapsed="false">
      <c r="A273" s="0" t="n">
        <f aca="false">IF('🧪 INVENTAIRE'!B274="",9000000000000000,IF('🧪 INVENTAIRE'!AJ274="",8000000000000000+ROW(),'🧪 INVENTAIRE'!AJ274*100000+ROW()))</f>
        <v>9000000000000000</v>
      </c>
      <c r="B273" s="0" t="str">
        <f aca="false">IF(AND('🧪 INVENTAIRE'!B274&lt;&gt;"",'🧪 INVENTAIRE'!BC274&lt;&gt;""),ROW('🧪 INVENTAIRE'!B274),"")</f>
        <v/>
      </c>
      <c r="C273" s="0" t="str">
        <f aca="false">IF('🧪 INVENTAIRE'!B274="","",N('🧪 INVENTAIRE'!O274)+ROW()/1000000)</f>
        <v/>
      </c>
    </row>
    <row r="274" customFormat="false" ht="15" hidden="false" customHeight="false" outlineLevel="0" collapsed="false">
      <c r="A274" s="0" t="n">
        <f aca="false">IF('🧪 INVENTAIRE'!B275="",9000000000000000,IF('🧪 INVENTAIRE'!AJ275="",8000000000000000+ROW(),'🧪 INVENTAIRE'!AJ275*100000+ROW()))</f>
        <v>9000000000000000</v>
      </c>
      <c r="B274" s="0" t="str">
        <f aca="false">IF(AND('🧪 INVENTAIRE'!B275&lt;&gt;"",'🧪 INVENTAIRE'!BC275&lt;&gt;""),ROW('🧪 INVENTAIRE'!B275),"")</f>
        <v/>
      </c>
      <c r="C274" s="0" t="str">
        <f aca="false">IF('🧪 INVENTAIRE'!B275="","",N('🧪 INVENTAIRE'!O275)+ROW()/1000000)</f>
        <v/>
      </c>
    </row>
    <row r="275" customFormat="false" ht="15" hidden="false" customHeight="false" outlineLevel="0" collapsed="false">
      <c r="A275" s="0" t="n">
        <f aca="false">IF('🧪 INVENTAIRE'!B276="",9000000000000000,IF('🧪 INVENTAIRE'!AJ276="",8000000000000000+ROW(),'🧪 INVENTAIRE'!AJ276*100000+ROW()))</f>
        <v>9000000000000000</v>
      </c>
      <c r="B275" s="0" t="str">
        <f aca="false">IF(AND('🧪 INVENTAIRE'!B276&lt;&gt;"",'🧪 INVENTAIRE'!BC276&lt;&gt;""),ROW('🧪 INVENTAIRE'!B276),"")</f>
        <v/>
      </c>
      <c r="C275" s="0" t="str">
        <f aca="false">IF('🧪 INVENTAIRE'!B276="","",N('🧪 INVENTAIRE'!O276)+ROW()/1000000)</f>
        <v/>
      </c>
    </row>
    <row r="276" customFormat="false" ht="15" hidden="false" customHeight="false" outlineLevel="0" collapsed="false">
      <c r="A276" s="0" t="n">
        <f aca="false">IF('🧪 INVENTAIRE'!B277="",9000000000000000,IF('🧪 INVENTAIRE'!AJ277="",8000000000000000+ROW(),'🧪 INVENTAIRE'!AJ277*100000+ROW()))</f>
        <v>9000000000000000</v>
      </c>
      <c r="B276" s="0" t="str">
        <f aca="false">IF(AND('🧪 INVENTAIRE'!B277&lt;&gt;"",'🧪 INVENTAIRE'!BC277&lt;&gt;""),ROW('🧪 INVENTAIRE'!B277),"")</f>
        <v/>
      </c>
      <c r="C276" s="0" t="str">
        <f aca="false">IF('🧪 INVENTAIRE'!B277="","",N('🧪 INVENTAIRE'!O277)+ROW()/1000000)</f>
        <v/>
      </c>
    </row>
    <row r="277" customFormat="false" ht="15" hidden="false" customHeight="false" outlineLevel="0" collapsed="false">
      <c r="A277" s="0" t="n">
        <f aca="false">IF('🧪 INVENTAIRE'!B278="",9000000000000000,IF('🧪 INVENTAIRE'!AJ278="",8000000000000000+ROW(),'🧪 INVENTAIRE'!AJ278*100000+ROW()))</f>
        <v>9000000000000000</v>
      </c>
      <c r="B277" s="0" t="str">
        <f aca="false">IF(AND('🧪 INVENTAIRE'!B278&lt;&gt;"",'🧪 INVENTAIRE'!BC278&lt;&gt;""),ROW('🧪 INVENTAIRE'!B278),"")</f>
        <v/>
      </c>
      <c r="C277" s="0" t="str">
        <f aca="false">IF('🧪 INVENTAIRE'!B278="","",N('🧪 INVENTAIRE'!O278)+ROW()/1000000)</f>
        <v/>
      </c>
    </row>
    <row r="278" customFormat="false" ht="15" hidden="false" customHeight="false" outlineLevel="0" collapsed="false">
      <c r="A278" s="0" t="n">
        <f aca="false">IF('🧪 INVENTAIRE'!B279="",9000000000000000,IF('🧪 INVENTAIRE'!AJ279="",8000000000000000+ROW(),'🧪 INVENTAIRE'!AJ279*100000+ROW()))</f>
        <v>9000000000000000</v>
      </c>
      <c r="B278" s="0" t="str">
        <f aca="false">IF(AND('🧪 INVENTAIRE'!B279&lt;&gt;"",'🧪 INVENTAIRE'!BC279&lt;&gt;""),ROW('🧪 INVENTAIRE'!B279),"")</f>
        <v/>
      </c>
      <c r="C278" s="0" t="str">
        <f aca="false">IF('🧪 INVENTAIRE'!B279="","",N('🧪 INVENTAIRE'!O279)+ROW()/1000000)</f>
        <v/>
      </c>
    </row>
    <row r="279" customFormat="false" ht="15" hidden="false" customHeight="false" outlineLevel="0" collapsed="false">
      <c r="A279" s="0" t="n">
        <f aca="false">IF('🧪 INVENTAIRE'!B280="",9000000000000000,IF('🧪 INVENTAIRE'!AJ280="",8000000000000000+ROW(),'🧪 INVENTAIRE'!AJ280*100000+ROW()))</f>
        <v>9000000000000000</v>
      </c>
      <c r="B279" s="0" t="str">
        <f aca="false">IF(AND('🧪 INVENTAIRE'!B280&lt;&gt;"",'🧪 INVENTAIRE'!BC280&lt;&gt;""),ROW('🧪 INVENTAIRE'!B280),"")</f>
        <v/>
      </c>
      <c r="C279" s="0" t="str">
        <f aca="false">IF('🧪 INVENTAIRE'!B280="","",N('🧪 INVENTAIRE'!O280)+ROW()/1000000)</f>
        <v/>
      </c>
    </row>
    <row r="280" customFormat="false" ht="15" hidden="false" customHeight="false" outlineLevel="0" collapsed="false">
      <c r="A280" s="0" t="n">
        <f aca="false">IF('🧪 INVENTAIRE'!B281="",9000000000000000,IF('🧪 INVENTAIRE'!AJ281="",8000000000000000+ROW(),'🧪 INVENTAIRE'!AJ281*100000+ROW()))</f>
        <v>9000000000000000</v>
      </c>
      <c r="B280" s="0" t="str">
        <f aca="false">IF(AND('🧪 INVENTAIRE'!B281&lt;&gt;"",'🧪 INVENTAIRE'!BC281&lt;&gt;""),ROW('🧪 INVENTAIRE'!B281),"")</f>
        <v/>
      </c>
      <c r="C280" s="0" t="str">
        <f aca="false">IF('🧪 INVENTAIRE'!B281="","",N('🧪 INVENTAIRE'!O281)+ROW()/1000000)</f>
        <v/>
      </c>
    </row>
    <row r="281" customFormat="false" ht="15" hidden="false" customHeight="false" outlineLevel="0" collapsed="false">
      <c r="A281" s="0" t="n">
        <f aca="false">IF('🧪 INVENTAIRE'!B282="",9000000000000000,IF('🧪 INVENTAIRE'!AJ282="",8000000000000000+ROW(),'🧪 INVENTAIRE'!AJ282*100000+ROW()))</f>
        <v>9000000000000000</v>
      </c>
      <c r="B281" s="0" t="str">
        <f aca="false">IF(AND('🧪 INVENTAIRE'!B282&lt;&gt;"",'🧪 INVENTAIRE'!BC282&lt;&gt;""),ROW('🧪 INVENTAIRE'!B282),"")</f>
        <v/>
      </c>
      <c r="C281" s="0" t="str">
        <f aca="false">IF('🧪 INVENTAIRE'!B282="","",N('🧪 INVENTAIRE'!O282)+ROW()/1000000)</f>
        <v/>
      </c>
    </row>
    <row r="282" customFormat="false" ht="15" hidden="false" customHeight="false" outlineLevel="0" collapsed="false">
      <c r="A282" s="0" t="n">
        <f aca="false">IF('🧪 INVENTAIRE'!B283="",9000000000000000,IF('🧪 INVENTAIRE'!AJ283="",8000000000000000+ROW(),'🧪 INVENTAIRE'!AJ283*100000+ROW()))</f>
        <v>9000000000000000</v>
      </c>
      <c r="B282" s="0" t="str">
        <f aca="false">IF(AND('🧪 INVENTAIRE'!B283&lt;&gt;"",'🧪 INVENTAIRE'!BC283&lt;&gt;""),ROW('🧪 INVENTAIRE'!B283),"")</f>
        <v/>
      </c>
      <c r="C282" s="0" t="str">
        <f aca="false">IF('🧪 INVENTAIRE'!B283="","",N('🧪 INVENTAIRE'!O283)+ROW()/1000000)</f>
        <v/>
      </c>
    </row>
    <row r="283" customFormat="false" ht="15" hidden="false" customHeight="false" outlineLevel="0" collapsed="false">
      <c r="A283" s="0" t="n">
        <f aca="false">IF('🧪 INVENTAIRE'!B284="",9000000000000000,IF('🧪 INVENTAIRE'!AJ284="",8000000000000000+ROW(),'🧪 INVENTAIRE'!AJ284*100000+ROW()))</f>
        <v>9000000000000000</v>
      </c>
      <c r="B283" s="0" t="str">
        <f aca="false">IF(AND('🧪 INVENTAIRE'!B284&lt;&gt;"",'🧪 INVENTAIRE'!BC284&lt;&gt;""),ROW('🧪 INVENTAIRE'!B284),"")</f>
        <v/>
      </c>
      <c r="C283" s="0" t="str">
        <f aca="false">IF('🧪 INVENTAIRE'!B284="","",N('🧪 INVENTAIRE'!O284)+ROW()/1000000)</f>
        <v/>
      </c>
    </row>
    <row r="284" customFormat="false" ht="15" hidden="false" customHeight="false" outlineLevel="0" collapsed="false">
      <c r="A284" s="0" t="n">
        <f aca="false">IF('🧪 INVENTAIRE'!B285="",9000000000000000,IF('🧪 INVENTAIRE'!AJ285="",8000000000000000+ROW(),'🧪 INVENTAIRE'!AJ285*100000+ROW()))</f>
        <v>9000000000000000</v>
      </c>
      <c r="B284" s="0" t="str">
        <f aca="false">IF(AND('🧪 INVENTAIRE'!B285&lt;&gt;"",'🧪 INVENTAIRE'!BC285&lt;&gt;""),ROW('🧪 INVENTAIRE'!B285),"")</f>
        <v/>
      </c>
      <c r="C284" s="0" t="str">
        <f aca="false">IF('🧪 INVENTAIRE'!B285="","",N('🧪 INVENTAIRE'!O285)+ROW()/1000000)</f>
        <v/>
      </c>
    </row>
    <row r="285" customFormat="false" ht="15" hidden="false" customHeight="false" outlineLevel="0" collapsed="false">
      <c r="A285" s="0" t="n">
        <f aca="false">IF('🧪 INVENTAIRE'!B286="",9000000000000000,IF('🧪 INVENTAIRE'!AJ286="",8000000000000000+ROW(),'🧪 INVENTAIRE'!AJ286*100000+ROW()))</f>
        <v>9000000000000000</v>
      </c>
      <c r="B285" s="0" t="str">
        <f aca="false">IF(AND('🧪 INVENTAIRE'!B286&lt;&gt;"",'🧪 INVENTAIRE'!BC286&lt;&gt;""),ROW('🧪 INVENTAIRE'!B286),"")</f>
        <v/>
      </c>
      <c r="C285" s="0" t="str">
        <f aca="false">IF('🧪 INVENTAIRE'!B286="","",N('🧪 INVENTAIRE'!O286)+ROW()/1000000)</f>
        <v/>
      </c>
    </row>
    <row r="286" customFormat="false" ht="15" hidden="false" customHeight="false" outlineLevel="0" collapsed="false">
      <c r="A286" s="0" t="n">
        <f aca="false">IF('🧪 INVENTAIRE'!B287="",9000000000000000,IF('🧪 INVENTAIRE'!AJ287="",8000000000000000+ROW(),'🧪 INVENTAIRE'!AJ287*100000+ROW()))</f>
        <v>9000000000000000</v>
      </c>
      <c r="B286" s="0" t="str">
        <f aca="false">IF(AND('🧪 INVENTAIRE'!B287&lt;&gt;"",'🧪 INVENTAIRE'!BC287&lt;&gt;""),ROW('🧪 INVENTAIRE'!B287),"")</f>
        <v/>
      </c>
      <c r="C286" s="0" t="str">
        <f aca="false">IF('🧪 INVENTAIRE'!B287="","",N('🧪 INVENTAIRE'!O287)+ROW()/1000000)</f>
        <v/>
      </c>
    </row>
    <row r="287" customFormat="false" ht="15" hidden="false" customHeight="false" outlineLevel="0" collapsed="false">
      <c r="A287" s="0" t="n">
        <f aca="false">IF('🧪 INVENTAIRE'!B288="",9000000000000000,IF('🧪 INVENTAIRE'!AJ288="",8000000000000000+ROW(),'🧪 INVENTAIRE'!AJ288*100000+ROW()))</f>
        <v>9000000000000000</v>
      </c>
      <c r="B287" s="0" t="str">
        <f aca="false">IF(AND('🧪 INVENTAIRE'!B288&lt;&gt;"",'🧪 INVENTAIRE'!BC288&lt;&gt;""),ROW('🧪 INVENTAIRE'!B288),"")</f>
        <v/>
      </c>
      <c r="C287" s="0" t="str">
        <f aca="false">IF('🧪 INVENTAIRE'!B288="","",N('🧪 INVENTAIRE'!O288)+ROW()/1000000)</f>
        <v/>
      </c>
    </row>
    <row r="288" customFormat="false" ht="15" hidden="false" customHeight="false" outlineLevel="0" collapsed="false">
      <c r="A288" s="0" t="n">
        <f aca="false">IF('🧪 INVENTAIRE'!B289="",9000000000000000,IF('🧪 INVENTAIRE'!AJ289="",8000000000000000+ROW(),'🧪 INVENTAIRE'!AJ289*100000+ROW()))</f>
        <v>9000000000000000</v>
      </c>
      <c r="B288" s="0" t="str">
        <f aca="false">IF(AND('🧪 INVENTAIRE'!B289&lt;&gt;"",'🧪 INVENTAIRE'!BC289&lt;&gt;""),ROW('🧪 INVENTAIRE'!B289),"")</f>
        <v/>
      </c>
      <c r="C288" s="0" t="str">
        <f aca="false">IF('🧪 INVENTAIRE'!B289="","",N('🧪 INVENTAIRE'!O289)+ROW()/1000000)</f>
        <v/>
      </c>
    </row>
    <row r="289" customFormat="false" ht="15" hidden="false" customHeight="false" outlineLevel="0" collapsed="false">
      <c r="A289" s="0" t="n">
        <f aca="false">IF('🧪 INVENTAIRE'!B290="",9000000000000000,IF('🧪 INVENTAIRE'!AJ290="",8000000000000000+ROW(),'🧪 INVENTAIRE'!AJ290*100000+ROW()))</f>
        <v>9000000000000000</v>
      </c>
      <c r="B289" s="0" t="str">
        <f aca="false">IF(AND('🧪 INVENTAIRE'!B290&lt;&gt;"",'🧪 INVENTAIRE'!BC290&lt;&gt;""),ROW('🧪 INVENTAIRE'!B290),"")</f>
        <v/>
      </c>
      <c r="C289" s="0" t="str">
        <f aca="false">IF('🧪 INVENTAIRE'!B290="","",N('🧪 INVENTAIRE'!O290)+ROW()/1000000)</f>
        <v/>
      </c>
    </row>
    <row r="290" customFormat="false" ht="15" hidden="false" customHeight="false" outlineLevel="0" collapsed="false">
      <c r="A290" s="0" t="n">
        <f aca="false">IF('🧪 INVENTAIRE'!B291="",9000000000000000,IF('🧪 INVENTAIRE'!AJ291="",8000000000000000+ROW(),'🧪 INVENTAIRE'!AJ291*100000+ROW()))</f>
        <v>9000000000000000</v>
      </c>
      <c r="B290" s="0" t="str">
        <f aca="false">IF(AND('🧪 INVENTAIRE'!B291&lt;&gt;"",'🧪 INVENTAIRE'!BC291&lt;&gt;""),ROW('🧪 INVENTAIRE'!B291),"")</f>
        <v/>
      </c>
      <c r="C290" s="0" t="str">
        <f aca="false">IF('🧪 INVENTAIRE'!B291="","",N('🧪 INVENTAIRE'!O291)+ROW()/1000000)</f>
        <v/>
      </c>
    </row>
    <row r="291" customFormat="false" ht="15" hidden="false" customHeight="false" outlineLevel="0" collapsed="false">
      <c r="A291" s="0" t="n">
        <f aca="false">IF('🧪 INVENTAIRE'!B292="",9000000000000000,IF('🧪 INVENTAIRE'!AJ292="",8000000000000000+ROW(),'🧪 INVENTAIRE'!AJ292*100000+ROW()))</f>
        <v>9000000000000000</v>
      </c>
      <c r="B291" s="0" t="str">
        <f aca="false">IF(AND('🧪 INVENTAIRE'!B292&lt;&gt;"",'🧪 INVENTAIRE'!BC292&lt;&gt;""),ROW('🧪 INVENTAIRE'!B292),"")</f>
        <v/>
      </c>
      <c r="C291" s="0" t="str">
        <f aca="false">IF('🧪 INVENTAIRE'!B292="","",N('🧪 INVENTAIRE'!O292)+ROW()/1000000)</f>
        <v/>
      </c>
    </row>
    <row r="292" customFormat="false" ht="15" hidden="false" customHeight="false" outlineLevel="0" collapsed="false">
      <c r="A292" s="0" t="n">
        <f aca="false">IF('🧪 INVENTAIRE'!B293="",9000000000000000,IF('🧪 INVENTAIRE'!AJ293="",8000000000000000+ROW(),'🧪 INVENTAIRE'!AJ293*100000+ROW()))</f>
        <v>9000000000000000</v>
      </c>
      <c r="B292" s="0" t="str">
        <f aca="false">IF(AND('🧪 INVENTAIRE'!B293&lt;&gt;"",'🧪 INVENTAIRE'!BC293&lt;&gt;""),ROW('🧪 INVENTAIRE'!B293),"")</f>
        <v/>
      </c>
      <c r="C292" s="0" t="str">
        <f aca="false">IF('🧪 INVENTAIRE'!B293="","",N('🧪 INVENTAIRE'!O293)+ROW()/1000000)</f>
        <v/>
      </c>
    </row>
    <row r="293" customFormat="false" ht="15" hidden="false" customHeight="false" outlineLevel="0" collapsed="false">
      <c r="A293" s="0" t="n">
        <f aca="false">IF('🧪 INVENTAIRE'!B294="",9000000000000000,IF('🧪 INVENTAIRE'!AJ294="",8000000000000000+ROW(),'🧪 INVENTAIRE'!AJ294*100000+ROW()))</f>
        <v>9000000000000000</v>
      </c>
      <c r="B293" s="0" t="str">
        <f aca="false">IF(AND('🧪 INVENTAIRE'!B294&lt;&gt;"",'🧪 INVENTAIRE'!BC294&lt;&gt;""),ROW('🧪 INVENTAIRE'!B294),"")</f>
        <v/>
      </c>
      <c r="C293" s="0" t="str">
        <f aca="false">IF('🧪 INVENTAIRE'!B294="","",N('🧪 INVENTAIRE'!O294)+ROW()/1000000)</f>
        <v/>
      </c>
    </row>
    <row r="294" customFormat="false" ht="15" hidden="false" customHeight="false" outlineLevel="0" collapsed="false">
      <c r="A294" s="0" t="n">
        <f aca="false">IF('🧪 INVENTAIRE'!B295="",9000000000000000,IF('🧪 INVENTAIRE'!AJ295="",8000000000000000+ROW(),'🧪 INVENTAIRE'!AJ295*100000+ROW()))</f>
        <v>9000000000000000</v>
      </c>
      <c r="B294" s="0" t="str">
        <f aca="false">IF(AND('🧪 INVENTAIRE'!B295&lt;&gt;"",'🧪 INVENTAIRE'!BC295&lt;&gt;""),ROW('🧪 INVENTAIRE'!B295),"")</f>
        <v/>
      </c>
      <c r="C294" s="0" t="str">
        <f aca="false">IF('🧪 INVENTAIRE'!B295="","",N('🧪 INVENTAIRE'!O295)+ROW()/1000000)</f>
        <v/>
      </c>
    </row>
    <row r="295" customFormat="false" ht="15" hidden="false" customHeight="false" outlineLevel="0" collapsed="false">
      <c r="A295" s="0" t="n">
        <f aca="false">IF('🧪 INVENTAIRE'!B296="",9000000000000000,IF('🧪 INVENTAIRE'!AJ296="",8000000000000000+ROW(),'🧪 INVENTAIRE'!AJ296*100000+ROW()))</f>
        <v>9000000000000000</v>
      </c>
      <c r="B295" s="0" t="str">
        <f aca="false">IF(AND('🧪 INVENTAIRE'!B296&lt;&gt;"",'🧪 INVENTAIRE'!BC296&lt;&gt;""),ROW('🧪 INVENTAIRE'!B296),"")</f>
        <v/>
      </c>
      <c r="C295" s="0" t="str">
        <f aca="false">IF('🧪 INVENTAIRE'!B296="","",N('🧪 INVENTAIRE'!O296)+ROW()/1000000)</f>
        <v/>
      </c>
    </row>
    <row r="296" customFormat="false" ht="15" hidden="false" customHeight="false" outlineLevel="0" collapsed="false">
      <c r="A296" s="0" t="n">
        <f aca="false">IF('🧪 INVENTAIRE'!B297="",9000000000000000,IF('🧪 INVENTAIRE'!AJ297="",8000000000000000+ROW(),'🧪 INVENTAIRE'!AJ297*100000+ROW()))</f>
        <v>9000000000000000</v>
      </c>
      <c r="B296" s="0" t="str">
        <f aca="false">IF(AND('🧪 INVENTAIRE'!B297&lt;&gt;"",'🧪 INVENTAIRE'!BC297&lt;&gt;""),ROW('🧪 INVENTAIRE'!B297),"")</f>
        <v/>
      </c>
      <c r="C296" s="0" t="str">
        <f aca="false">IF('🧪 INVENTAIRE'!B297="","",N('🧪 INVENTAIRE'!O297)+ROW()/1000000)</f>
        <v/>
      </c>
    </row>
    <row r="297" customFormat="false" ht="15" hidden="false" customHeight="false" outlineLevel="0" collapsed="false">
      <c r="A297" s="0" t="n">
        <f aca="false">IF('🧪 INVENTAIRE'!B298="",9000000000000000,IF('🧪 INVENTAIRE'!AJ298="",8000000000000000+ROW(),'🧪 INVENTAIRE'!AJ298*100000+ROW()))</f>
        <v>9000000000000000</v>
      </c>
      <c r="B297" s="0" t="str">
        <f aca="false">IF(AND('🧪 INVENTAIRE'!B298&lt;&gt;"",'🧪 INVENTAIRE'!BC298&lt;&gt;""),ROW('🧪 INVENTAIRE'!B298),"")</f>
        <v/>
      </c>
      <c r="C297" s="0" t="str">
        <f aca="false">IF('🧪 INVENTAIRE'!B298="","",N('🧪 INVENTAIRE'!O298)+ROW()/1000000)</f>
        <v/>
      </c>
    </row>
    <row r="298" customFormat="false" ht="15" hidden="false" customHeight="false" outlineLevel="0" collapsed="false">
      <c r="A298" s="0" t="n">
        <f aca="false">IF('🧪 INVENTAIRE'!B299="",9000000000000000,IF('🧪 INVENTAIRE'!AJ299="",8000000000000000+ROW(),'🧪 INVENTAIRE'!AJ299*100000+ROW()))</f>
        <v>9000000000000000</v>
      </c>
      <c r="B298" s="0" t="str">
        <f aca="false">IF(AND('🧪 INVENTAIRE'!B299&lt;&gt;"",'🧪 INVENTAIRE'!BC299&lt;&gt;""),ROW('🧪 INVENTAIRE'!B299),"")</f>
        <v/>
      </c>
      <c r="C298" s="0" t="str">
        <f aca="false">IF('🧪 INVENTAIRE'!B299="","",N('🧪 INVENTAIRE'!O299)+ROW()/1000000)</f>
        <v/>
      </c>
    </row>
    <row r="299" customFormat="false" ht="15" hidden="false" customHeight="false" outlineLevel="0" collapsed="false">
      <c r="A299" s="0" t="n">
        <f aca="false">IF('🧪 INVENTAIRE'!B300="",9000000000000000,IF('🧪 INVENTAIRE'!AJ300="",8000000000000000+ROW(),'🧪 INVENTAIRE'!AJ300*100000+ROW()))</f>
        <v>9000000000000000</v>
      </c>
      <c r="B299" s="0" t="str">
        <f aca="false">IF(AND('🧪 INVENTAIRE'!B300&lt;&gt;"",'🧪 INVENTAIRE'!BC300&lt;&gt;""),ROW('🧪 INVENTAIRE'!B300),"")</f>
        <v/>
      </c>
      <c r="C299" s="0" t="str">
        <f aca="false">IF('🧪 INVENTAIRE'!B300="","",N('🧪 INVENTAIRE'!O300)+ROW()/1000000)</f>
        <v/>
      </c>
    </row>
    <row r="300" customFormat="false" ht="15" hidden="false" customHeight="false" outlineLevel="0" collapsed="false">
      <c r="A300" s="0" t="n">
        <f aca="false">IF('🧪 INVENTAIRE'!B301="",9000000000000000,IF('🧪 INVENTAIRE'!AJ301="",8000000000000000+ROW(),'🧪 INVENTAIRE'!AJ301*100000+ROW()))</f>
        <v>9000000000000000</v>
      </c>
      <c r="B300" s="0" t="str">
        <f aca="false">IF(AND('🧪 INVENTAIRE'!B301&lt;&gt;"",'🧪 INVENTAIRE'!BC301&lt;&gt;""),ROW('🧪 INVENTAIRE'!B301),"")</f>
        <v/>
      </c>
      <c r="C300" s="0" t="str">
        <f aca="false">IF('🧪 INVENTAIRE'!B301="","",N('🧪 INVENTAIRE'!O301)+ROW()/1000000)</f>
        <v/>
      </c>
    </row>
    <row r="301" customFormat="false" ht="15" hidden="false" customHeight="false" outlineLevel="0" collapsed="false">
      <c r="A301" s="0" t="n">
        <f aca="false">IF('🧪 INVENTAIRE'!B302="",9000000000000000,IF('🧪 INVENTAIRE'!AJ302="",8000000000000000+ROW(),'🧪 INVENTAIRE'!AJ302*100000+ROW()))</f>
        <v>9000000000000000</v>
      </c>
      <c r="B301" s="0" t="str">
        <f aca="false">IF(AND('🧪 INVENTAIRE'!B302&lt;&gt;"",'🧪 INVENTAIRE'!BC302&lt;&gt;""),ROW('🧪 INVENTAIRE'!B302),"")</f>
        <v/>
      </c>
      <c r="C301" s="0" t="str">
        <f aca="false">IF('🧪 INVENTAIRE'!B302="","",N('🧪 INVENTAIRE'!O302)+ROW()/1000000)</f>
        <v/>
      </c>
    </row>
    <row r="302" customFormat="false" ht="15" hidden="false" customHeight="false" outlineLevel="0" collapsed="false">
      <c r="A302" s="0" t="n">
        <f aca="false">IF('🧪 INVENTAIRE'!B303="",9000000000000000,IF('🧪 INVENTAIRE'!AJ303="",8000000000000000+ROW(),'🧪 INVENTAIRE'!AJ303*100000+ROW()))</f>
        <v>9000000000000000</v>
      </c>
      <c r="B302" s="0" t="str">
        <f aca="false">IF(AND('🧪 INVENTAIRE'!B303&lt;&gt;"",'🧪 INVENTAIRE'!BC303&lt;&gt;""),ROW('🧪 INVENTAIRE'!B303),"")</f>
        <v/>
      </c>
      <c r="C302" s="0" t="str">
        <f aca="false">IF('🧪 INVENTAIRE'!B303="","",N('🧪 INVENTAIRE'!O303)+ROW()/1000000)</f>
        <v/>
      </c>
    </row>
    <row r="303" customFormat="false" ht="15" hidden="false" customHeight="false" outlineLevel="0" collapsed="false">
      <c r="A303" s="0" t="n">
        <f aca="false">IF('🧪 INVENTAIRE'!B304="",9000000000000000,IF('🧪 INVENTAIRE'!AJ304="",8000000000000000+ROW(),'🧪 INVENTAIRE'!AJ304*100000+ROW()))</f>
        <v>9000000000000000</v>
      </c>
      <c r="B303" s="0" t="str">
        <f aca="false">IF(AND('🧪 INVENTAIRE'!B304&lt;&gt;"",'🧪 INVENTAIRE'!BC304&lt;&gt;""),ROW('🧪 INVENTAIRE'!B304),"")</f>
        <v/>
      </c>
      <c r="C303" s="0" t="str">
        <f aca="false">IF('🧪 INVENTAIRE'!B304="","",N('🧪 INVENTAIRE'!O304)+ROW()/1000000)</f>
        <v/>
      </c>
    </row>
    <row r="304" customFormat="false" ht="15" hidden="false" customHeight="false" outlineLevel="0" collapsed="false">
      <c r="A304" s="0" t="n">
        <f aca="false">IF('🧪 INVENTAIRE'!B305="",9000000000000000,IF('🧪 INVENTAIRE'!AJ305="",8000000000000000+ROW(),'🧪 INVENTAIRE'!AJ305*100000+ROW()))</f>
        <v>9000000000000000</v>
      </c>
      <c r="B304" s="0" t="str">
        <f aca="false">IF(AND('🧪 INVENTAIRE'!B305&lt;&gt;"",'🧪 INVENTAIRE'!BC305&lt;&gt;""),ROW('🧪 INVENTAIRE'!B305),"")</f>
        <v/>
      </c>
      <c r="C304" s="0" t="str">
        <f aca="false">IF('🧪 INVENTAIRE'!B305="","",N('🧪 INVENTAIRE'!O305)+ROW()/1000000)</f>
        <v/>
      </c>
    </row>
    <row r="305" customFormat="false" ht="15" hidden="false" customHeight="false" outlineLevel="0" collapsed="false">
      <c r="A305" s="0" t="n">
        <f aca="false">IF('🧪 INVENTAIRE'!B306="",9000000000000000,IF('🧪 INVENTAIRE'!AJ306="",8000000000000000+ROW(),'🧪 INVENTAIRE'!AJ306*100000+ROW()))</f>
        <v>9000000000000000</v>
      </c>
      <c r="B305" s="0" t="str">
        <f aca="false">IF(AND('🧪 INVENTAIRE'!B306&lt;&gt;"",'🧪 INVENTAIRE'!BC306&lt;&gt;""),ROW('🧪 INVENTAIRE'!B306),"")</f>
        <v/>
      </c>
      <c r="C305" s="0" t="str">
        <f aca="false">IF('🧪 INVENTAIRE'!B306="","",N('🧪 INVENTAIRE'!O306)+ROW()/1000000)</f>
        <v/>
      </c>
    </row>
    <row r="306" customFormat="false" ht="15" hidden="false" customHeight="false" outlineLevel="0" collapsed="false">
      <c r="A306" s="0" t="n">
        <f aca="false">IF('🧪 INVENTAIRE'!B307="",9000000000000000,IF('🧪 INVENTAIRE'!AJ307="",8000000000000000+ROW(),'🧪 INVENTAIRE'!AJ307*100000+ROW()))</f>
        <v>9000000000000000</v>
      </c>
      <c r="B306" s="0" t="str">
        <f aca="false">IF(AND('🧪 INVENTAIRE'!B307&lt;&gt;"",'🧪 INVENTAIRE'!BC307&lt;&gt;""),ROW('🧪 INVENTAIRE'!B307),"")</f>
        <v/>
      </c>
      <c r="C306" s="0" t="str">
        <f aca="false">IF('🧪 INVENTAIRE'!B307="","",N('🧪 INVENTAIRE'!O307)+ROW()/1000000)</f>
        <v/>
      </c>
    </row>
    <row r="307" customFormat="false" ht="15" hidden="false" customHeight="false" outlineLevel="0" collapsed="false">
      <c r="A307" s="0" t="n">
        <f aca="false">IF('🧪 INVENTAIRE'!B308="",9000000000000000,IF('🧪 INVENTAIRE'!AJ308="",8000000000000000+ROW(),'🧪 INVENTAIRE'!AJ308*100000+ROW()))</f>
        <v>9000000000000000</v>
      </c>
      <c r="B307" s="0" t="str">
        <f aca="false">IF(AND('🧪 INVENTAIRE'!B308&lt;&gt;"",'🧪 INVENTAIRE'!BC308&lt;&gt;""),ROW('🧪 INVENTAIRE'!B308),"")</f>
        <v/>
      </c>
      <c r="C307" s="0" t="str">
        <f aca="false">IF('🧪 INVENTAIRE'!B308="","",N('🧪 INVENTAIRE'!O308)+ROW()/1000000)</f>
        <v/>
      </c>
    </row>
    <row r="308" customFormat="false" ht="15" hidden="false" customHeight="false" outlineLevel="0" collapsed="false">
      <c r="A308" s="0" t="n">
        <f aca="false">IF('🧪 INVENTAIRE'!B309="",9000000000000000,IF('🧪 INVENTAIRE'!AJ309="",8000000000000000+ROW(),'🧪 INVENTAIRE'!AJ309*100000+ROW()))</f>
        <v>9000000000000000</v>
      </c>
      <c r="B308" s="0" t="str">
        <f aca="false">IF(AND('🧪 INVENTAIRE'!B309&lt;&gt;"",'🧪 INVENTAIRE'!BC309&lt;&gt;""),ROW('🧪 INVENTAIRE'!B309),"")</f>
        <v/>
      </c>
      <c r="C308" s="0" t="str">
        <f aca="false">IF('🧪 INVENTAIRE'!B309="","",N('🧪 INVENTAIRE'!O309)+ROW()/1000000)</f>
        <v/>
      </c>
    </row>
    <row r="309" customFormat="false" ht="15" hidden="false" customHeight="false" outlineLevel="0" collapsed="false">
      <c r="A309" s="0" t="n">
        <f aca="false">IF('🧪 INVENTAIRE'!B310="",9000000000000000,IF('🧪 INVENTAIRE'!AJ310="",8000000000000000+ROW(),'🧪 INVENTAIRE'!AJ310*100000+ROW()))</f>
        <v>9000000000000000</v>
      </c>
      <c r="B309" s="0" t="str">
        <f aca="false">IF(AND('🧪 INVENTAIRE'!B310&lt;&gt;"",'🧪 INVENTAIRE'!BC310&lt;&gt;""),ROW('🧪 INVENTAIRE'!B310),"")</f>
        <v/>
      </c>
      <c r="C309" s="0" t="str">
        <f aca="false">IF('🧪 INVENTAIRE'!B310="","",N('🧪 INVENTAIRE'!O310)+ROW()/1000000)</f>
        <v/>
      </c>
    </row>
    <row r="310" customFormat="false" ht="15" hidden="false" customHeight="false" outlineLevel="0" collapsed="false">
      <c r="A310" s="0" t="n">
        <f aca="false">IF('🧪 INVENTAIRE'!B311="",9000000000000000,IF('🧪 INVENTAIRE'!AJ311="",8000000000000000+ROW(),'🧪 INVENTAIRE'!AJ311*100000+ROW()))</f>
        <v>9000000000000000</v>
      </c>
      <c r="B310" s="0" t="str">
        <f aca="false">IF(AND('🧪 INVENTAIRE'!B311&lt;&gt;"",'🧪 INVENTAIRE'!BC311&lt;&gt;""),ROW('🧪 INVENTAIRE'!B311),"")</f>
        <v/>
      </c>
      <c r="C310" s="0" t="str">
        <f aca="false">IF('🧪 INVENTAIRE'!B311="","",N('🧪 INVENTAIRE'!O311)+ROW()/1000000)</f>
        <v/>
      </c>
    </row>
    <row r="311" customFormat="false" ht="15" hidden="false" customHeight="false" outlineLevel="0" collapsed="false">
      <c r="A311" s="0" t="n">
        <f aca="false">IF('🧪 INVENTAIRE'!B312="",9000000000000000,IF('🧪 INVENTAIRE'!AJ312="",8000000000000000+ROW(),'🧪 INVENTAIRE'!AJ312*100000+ROW()))</f>
        <v>9000000000000000</v>
      </c>
      <c r="B311" s="0" t="str">
        <f aca="false">IF(AND('🧪 INVENTAIRE'!B312&lt;&gt;"",'🧪 INVENTAIRE'!BC312&lt;&gt;""),ROW('🧪 INVENTAIRE'!B312),"")</f>
        <v/>
      </c>
      <c r="C311" s="0" t="str">
        <f aca="false">IF('🧪 INVENTAIRE'!B312="","",N('🧪 INVENTAIRE'!O312)+ROW()/1000000)</f>
        <v/>
      </c>
    </row>
    <row r="312" customFormat="false" ht="15" hidden="false" customHeight="false" outlineLevel="0" collapsed="false">
      <c r="A312" s="0" t="n">
        <f aca="false">IF('🧪 INVENTAIRE'!B313="",9000000000000000,IF('🧪 INVENTAIRE'!AJ313="",8000000000000000+ROW(),'🧪 INVENTAIRE'!AJ313*100000+ROW()))</f>
        <v>9000000000000000</v>
      </c>
      <c r="B312" s="0" t="str">
        <f aca="false">IF(AND('🧪 INVENTAIRE'!B313&lt;&gt;"",'🧪 INVENTAIRE'!BC313&lt;&gt;""),ROW('🧪 INVENTAIRE'!B313),"")</f>
        <v/>
      </c>
      <c r="C312" s="0" t="str">
        <f aca="false">IF('🧪 INVENTAIRE'!B313="","",N('🧪 INVENTAIRE'!O313)+ROW()/1000000)</f>
        <v/>
      </c>
    </row>
    <row r="313" customFormat="false" ht="15" hidden="false" customHeight="false" outlineLevel="0" collapsed="false">
      <c r="A313" s="0" t="n">
        <f aca="false">IF('🧪 INVENTAIRE'!B314="",9000000000000000,IF('🧪 INVENTAIRE'!AJ314="",8000000000000000+ROW(),'🧪 INVENTAIRE'!AJ314*100000+ROW()))</f>
        <v>9000000000000000</v>
      </c>
      <c r="B313" s="0" t="str">
        <f aca="false">IF(AND('🧪 INVENTAIRE'!B314&lt;&gt;"",'🧪 INVENTAIRE'!BC314&lt;&gt;""),ROW('🧪 INVENTAIRE'!B314),"")</f>
        <v/>
      </c>
      <c r="C313" s="0" t="str">
        <f aca="false">IF('🧪 INVENTAIRE'!B314="","",N('🧪 INVENTAIRE'!O314)+ROW()/1000000)</f>
        <v/>
      </c>
    </row>
    <row r="314" customFormat="false" ht="15" hidden="false" customHeight="false" outlineLevel="0" collapsed="false">
      <c r="A314" s="0" t="n">
        <f aca="false">IF('🧪 INVENTAIRE'!B315="",9000000000000000,IF('🧪 INVENTAIRE'!AJ315="",8000000000000000+ROW(),'🧪 INVENTAIRE'!AJ315*100000+ROW()))</f>
        <v>9000000000000000</v>
      </c>
      <c r="B314" s="0" t="str">
        <f aca="false">IF(AND('🧪 INVENTAIRE'!B315&lt;&gt;"",'🧪 INVENTAIRE'!BC315&lt;&gt;""),ROW('🧪 INVENTAIRE'!B315),"")</f>
        <v/>
      </c>
      <c r="C314" s="0" t="str">
        <f aca="false">IF('🧪 INVENTAIRE'!B315="","",N('🧪 INVENTAIRE'!O315)+ROW()/1000000)</f>
        <v/>
      </c>
    </row>
    <row r="315" customFormat="false" ht="15" hidden="false" customHeight="false" outlineLevel="0" collapsed="false">
      <c r="A315" s="0" t="n">
        <f aca="false">IF('🧪 INVENTAIRE'!B316="",9000000000000000,IF('🧪 INVENTAIRE'!AJ316="",8000000000000000+ROW(),'🧪 INVENTAIRE'!AJ316*100000+ROW()))</f>
        <v>9000000000000000</v>
      </c>
      <c r="B315" s="0" t="str">
        <f aca="false">IF(AND('🧪 INVENTAIRE'!B316&lt;&gt;"",'🧪 INVENTAIRE'!BC316&lt;&gt;""),ROW('🧪 INVENTAIRE'!B316),"")</f>
        <v/>
      </c>
      <c r="C315" s="0" t="str">
        <f aca="false">IF('🧪 INVENTAIRE'!B316="","",N('🧪 INVENTAIRE'!O316)+ROW()/1000000)</f>
        <v/>
      </c>
    </row>
    <row r="316" customFormat="false" ht="15" hidden="false" customHeight="false" outlineLevel="0" collapsed="false">
      <c r="A316" s="0" t="n">
        <f aca="false">IF('🧪 INVENTAIRE'!B317="",9000000000000000,IF('🧪 INVENTAIRE'!AJ317="",8000000000000000+ROW(),'🧪 INVENTAIRE'!AJ317*100000+ROW()))</f>
        <v>9000000000000000</v>
      </c>
      <c r="B316" s="0" t="str">
        <f aca="false">IF(AND('🧪 INVENTAIRE'!B317&lt;&gt;"",'🧪 INVENTAIRE'!BC317&lt;&gt;""),ROW('🧪 INVENTAIRE'!B317),"")</f>
        <v/>
      </c>
      <c r="C316" s="0" t="str">
        <f aca="false">IF('🧪 INVENTAIRE'!B317="","",N('🧪 INVENTAIRE'!O317)+ROW()/1000000)</f>
        <v/>
      </c>
    </row>
    <row r="317" customFormat="false" ht="15" hidden="false" customHeight="false" outlineLevel="0" collapsed="false">
      <c r="A317" s="0" t="n">
        <f aca="false">IF('🧪 INVENTAIRE'!B318="",9000000000000000,IF('🧪 INVENTAIRE'!AJ318="",8000000000000000+ROW(),'🧪 INVENTAIRE'!AJ318*100000+ROW()))</f>
        <v>9000000000000000</v>
      </c>
      <c r="B317" s="0" t="str">
        <f aca="false">IF(AND('🧪 INVENTAIRE'!B318&lt;&gt;"",'🧪 INVENTAIRE'!BC318&lt;&gt;""),ROW('🧪 INVENTAIRE'!B318),"")</f>
        <v/>
      </c>
      <c r="C317" s="0" t="str">
        <f aca="false">IF('🧪 INVENTAIRE'!B318="","",N('🧪 INVENTAIRE'!O318)+ROW()/1000000)</f>
        <v/>
      </c>
    </row>
    <row r="318" customFormat="false" ht="15" hidden="false" customHeight="false" outlineLevel="0" collapsed="false">
      <c r="A318" s="0" t="n">
        <f aca="false">IF('🧪 INVENTAIRE'!B319="",9000000000000000,IF('🧪 INVENTAIRE'!AJ319="",8000000000000000+ROW(),'🧪 INVENTAIRE'!AJ319*100000+ROW()))</f>
        <v>9000000000000000</v>
      </c>
      <c r="B318" s="0" t="str">
        <f aca="false">IF(AND('🧪 INVENTAIRE'!B319&lt;&gt;"",'🧪 INVENTAIRE'!BC319&lt;&gt;""),ROW('🧪 INVENTAIRE'!B319),"")</f>
        <v/>
      </c>
      <c r="C318" s="0" t="str">
        <f aca="false">IF('🧪 INVENTAIRE'!B319="","",N('🧪 INVENTAIRE'!O319)+ROW()/1000000)</f>
        <v/>
      </c>
    </row>
    <row r="319" customFormat="false" ht="15" hidden="false" customHeight="false" outlineLevel="0" collapsed="false">
      <c r="A319" s="0" t="n">
        <f aca="false">IF('🧪 INVENTAIRE'!B320="",9000000000000000,IF('🧪 INVENTAIRE'!AJ320="",8000000000000000+ROW(),'🧪 INVENTAIRE'!AJ320*100000+ROW()))</f>
        <v>9000000000000000</v>
      </c>
      <c r="B319" s="0" t="str">
        <f aca="false">IF(AND('🧪 INVENTAIRE'!B320&lt;&gt;"",'🧪 INVENTAIRE'!BC320&lt;&gt;""),ROW('🧪 INVENTAIRE'!B320),"")</f>
        <v/>
      </c>
      <c r="C319" s="0" t="str">
        <f aca="false">IF('🧪 INVENTAIRE'!B320="","",N('🧪 INVENTAIRE'!O320)+ROW()/1000000)</f>
        <v/>
      </c>
    </row>
    <row r="320" customFormat="false" ht="15" hidden="false" customHeight="false" outlineLevel="0" collapsed="false">
      <c r="A320" s="0" t="n">
        <f aca="false">IF('🧪 INVENTAIRE'!B321="",9000000000000000,IF('🧪 INVENTAIRE'!AJ321="",8000000000000000+ROW(),'🧪 INVENTAIRE'!AJ321*100000+ROW()))</f>
        <v>9000000000000000</v>
      </c>
      <c r="B320" s="0" t="str">
        <f aca="false">IF(AND('🧪 INVENTAIRE'!B321&lt;&gt;"",'🧪 INVENTAIRE'!BC321&lt;&gt;""),ROW('🧪 INVENTAIRE'!B321),"")</f>
        <v/>
      </c>
      <c r="C320" s="0" t="str">
        <f aca="false">IF('🧪 INVENTAIRE'!B321="","",N('🧪 INVENTAIRE'!O321)+ROW()/1000000)</f>
        <v/>
      </c>
    </row>
    <row r="321" customFormat="false" ht="15" hidden="false" customHeight="false" outlineLevel="0" collapsed="false">
      <c r="A321" s="0" t="n">
        <f aca="false">IF('🧪 INVENTAIRE'!B322="",9000000000000000,IF('🧪 INVENTAIRE'!AJ322="",8000000000000000+ROW(),'🧪 INVENTAIRE'!AJ322*100000+ROW()))</f>
        <v>9000000000000000</v>
      </c>
      <c r="B321" s="0" t="str">
        <f aca="false">IF(AND('🧪 INVENTAIRE'!B322&lt;&gt;"",'🧪 INVENTAIRE'!BC322&lt;&gt;""),ROW('🧪 INVENTAIRE'!B322),"")</f>
        <v/>
      </c>
      <c r="C321" s="0" t="str">
        <f aca="false">IF('🧪 INVENTAIRE'!B322="","",N('🧪 INVENTAIRE'!O322)+ROW()/1000000)</f>
        <v/>
      </c>
    </row>
  </sheetData>
  <sheetProtection sheet="true" password="df18" formatCells="false" formatColumns="false" formatRows="false" insertRows="false" deleteRows="false" sort="false" autoFilter="false"/>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2026-07-21T12:58:30Z</dcterms:created>
  <dc:creator>openpyxl</dc:creator>
  <dc:description/>
  <dc:language>en-US</dc:language>
  <cp:lastModifiedBy/>
  <dcterms:modified xsi:type="dcterms:W3CDTF">2026-07-21T12:58:49Z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